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10035"/>
  </bookViews>
  <sheets>
    <sheet name="MAU 93-ck (2)" sheetId="8" r:id="rId1"/>
    <sheet name="MAU 94-ck (4)" sheetId="10" r:id="rId2"/>
    <sheet name="MAU 95-CK " sheetId="3" r:id="rId3"/>
  </sheets>
  <definedNames>
    <definedName name="_xlnm.Print_Titles" localSheetId="0">'MAU 93-ck (2)'!$9:$10</definedName>
    <definedName name="_xlnm.Print_Titles" localSheetId="1">'MAU 94-ck (4)'!$9:$10</definedName>
    <definedName name="_xlnm.Print_Titles" localSheetId="2">'MAU 95-CK '!$10:$11</definedName>
  </definedNames>
  <calcPr calcId="144525"/>
</workbook>
</file>

<file path=xl/calcChain.xml><?xml version="1.0" encoding="utf-8"?>
<calcChain xmlns="http://schemas.openxmlformats.org/spreadsheetml/2006/main">
  <c r="F12" i="8" l="1"/>
  <c r="F13" i="8"/>
  <c r="I13" i="10"/>
  <c r="I11" i="10" s="1"/>
  <c r="G22" i="8" l="1"/>
  <c r="G23" i="8"/>
  <c r="G24" i="8"/>
  <c r="G25" i="8"/>
  <c r="G26" i="8"/>
  <c r="G27" i="8"/>
  <c r="G28" i="8"/>
  <c r="G30" i="8"/>
  <c r="G31" i="8"/>
  <c r="G32" i="8"/>
  <c r="G37" i="8"/>
  <c r="G21" i="8"/>
  <c r="E21" i="8"/>
  <c r="E23" i="8"/>
  <c r="E25" i="8"/>
  <c r="E26" i="8"/>
  <c r="E27" i="8"/>
  <c r="E28" i="8"/>
  <c r="E24" i="8"/>
  <c r="D27" i="8"/>
  <c r="H18" i="8"/>
  <c r="H13" i="8"/>
  <c r="F14" i="8"/>
  <c r="G14" i="8" s="1"/>
  <c r="G13" i="8"/>
  <c r="G15" i="8"/>
  <c r="G18" i="8"/>
  <c r="N44" i="10"/>
  <c r="N41" i="10"/>
  <c r="N40" i="10"/>
  <c r="N35" i="10"/>
  <c r="N34" i="10"/>
  <c r="N30" i="10"/>
  <c r="N28" i="10"/>
  <c r="N27" i="10"/>
  <c r="N26" i="10"/>
  <c r="N25" i="10"/>
  <c r="N24" i="10"/>
  <c r="N22" i="10"/>
  <c r="N20" i="10"/>
  <c r="N18" i="10"/>
  <c r="N16" i="10"/>
  <c r="N15" i="10"/>
  <c r="N14" i="10"/>
  <c r="E44" i="10"/>
  <c r="E43" i="10"/>
  <c r="F43" i="10" s="1"/>
  <c r="E42" i="10"/>
  <c r="E41" i="10"/>
  <c r="E35" i="10"/>
  <c r="E34" i="10"/>
  <c r="E30" i="10"/>
  <c r="E28" i="10"/>
  <c r="E27" i="10"/>
  <c r="E26" i="10"/>
  <c r="E25" i="10"/>
  <c r="E24" i="10"/>
  <c r="E22" i="10"/>
  <c r="E20" i="10"/>
  <c r="E18" i="10"/>
  <c r="E16" i="10"/>
  <c r="E15" i="10"/>
  <c r="E14" i="10"/>
  <c r="H14" i="8" l="1"/>
  <c r="K56" i="3"/>
  <c r="K55" i="3"/>
  <c r="K54" i="3"/>
  <c r="K44" i="3"/>
  <c r="K43" i="3"/>
  <c r="K42" i="3"/>
  <c r="K41" i="3"/>
  <c r="K40" i="3"/>
  <c r="K39" i="3"/>
  <c r="K38" i="3"/>
  <c r="K37" i="3"/>
  <c r="K36" i="3"/>
  <c r="K35" i="3"/>
  <c r="K31" i="3"/>
  <c r="K30" i="3"/>
  <c r="K29" i="3"/>
  <c r="K28" i="3"/>
  <c r="K27" i="3"/>
  <c r="K26" i="3"/>
  <c r="K25" i="3"/>
  <c r="K24" i="3"/>
  <c r="K23" i="3"/>
  <c r="K22" i="3"/>
  <c r="K21" i="3"/>
  <c r="K20" i="3"/>
  <c r="K16" i="3"/>
  <c r="K15" i="3"/>
  <c r="K14" i="3"/>
  <c r="K13" i="3"/>
  <c r="E56" i="3" l="1"/>
  <c r="E55" i="3"/>
  <c r="E54" i="3"/>
  <c r="E46" i="3"/>
  <c r="E44" i="3"/>
  <c r="E43" i="3"/>
  <c r="E42" i="3"/>
  <c r="E41" i="3"/>
  <c r="E40" i="3"/>
  <c r="E39" i="3"/>
  <c r="E38" i="3"/>
  <c r="E37" i="3"/>
  <c r="E36" i="3"/>
  <c r="E35" i="3"/>
  <c r="E33" i="3"/>
  <c r="E31" i="3"/>
  <c r="E30" i="3"/>
  <c r="E29" i="3"/>
  <c r="E28" i="3"/>
  <c r="E27" i="3"/>
  <c r="E26" i="3"/>
  <c r="E25" i="3"/>
  <c r="E24" i="3"/>
  <c r="E23" i="3"/>
  <c r="E22" i="3"/>
  <c r="E21" i="3"/>
  <c r="E20" i="3"/>
  <c r="E16" i="3" l="1"/>
  <c r="E15" i="3"/>
  <c r="E14" i="3"/>
  <c r="E13" i="3"/>
  <c r="D44" i="10" l="1"/>
  <c r="F46" i="10"/>
  <c r="F44" i="10"/>
  <c r="F24" i="8" l="1"/>
  <c r="C24" i="8"/>
  <c r="D24" i="8"/>
  <c r="F30" i="8"/>
  <c r="E12" i="3"/>
  <c r="F23" i="8" l="1"/>
  <c r="H12" i="8" l="1"/>
  <c r="G12" i="8"/>
  <c r="F22" i="8"/>
  <c r="E19" i="3"/>
  <c r="E48" i="3"/>
  <c r="E47" i="3" s="1"/>
  <c r="E34" i="3"/>
  <c r="F21" i="8" l="1"/>
  <c r="J13" i="3"/>
  <c r="J14" i="3"/>
  <c r="J15" i="3"/>
  <c r="J16" i="3"/>
  <c r="J17" i="3"/>
  <c r="J20" i="3"/>
  <c r="J21" i="3"/>
  <c r="J22" i="3"/>
  <c r="J23" i="3"/>
  <c r="J24" i="3"/>
  <c r="J25" i="3"/>
  <c r="J26" i="3"/>
  <c r="J27" i="3"/>
  <c r="J28" i="3"/>
  <c r="J29" i="3"/>
  <c r="J30" i="3"/>
  <c r="J31" i="3"/>
  <c r="J35" i="3"/>
  <c r="J36" i="3"/>
  <c r="J37" i="3"/>
  <c r="J38" i="3"/>
  <c r="J39" i="3"/>
  <c r="J41" i="3"/>
  <c r="J42" i="3"/>
  <c r="J43" i="3"/>
  <c r="J44" i="3"/>
  <c r="J46" i="3"/>
  <c r="I13" i="3"/>
  <c r="I14" i="3"/>
  <c r="I15" i="3"/>
  <c r="I17" i="3"/>
  <c r="I22" i="3"/>
  <c r="I27" i="3"/>
  <c r="G13" i="3"/>
  <c r="G14" i="3"/>
  <c r="G15" i="3"/>
  <c r="G16" i="3"/>
  <c r="G17" i="3"/>
  <c r="G20" i="3"/>
  <c r="G21" i="3"/>
  <c r="G22" i="3"/>
  <c r="G23" i="3"/>
  <c r="G24" i="3"/>
  <c r="G25" i="3"/>
  <c r="G26" i="3"/>
  <c r="G27" i="3"/>
  <c r="G28" i="3"/>
  <c r="G29" i="3"/>
  <c r="G30" i="3"/>
  <c r="G31" i="3"/>
  <c r="G35" i="3"/>
  <c r="G36" i="3"/>
  <c r="G37" i="3"/>
  <c r="G38" i="3"/>
  <c r="G39" i="3"/>
  <c r="G41" i="3"/>
  <c r="G42" i="3"/>
  <c r="G43" i="3"/>
  <c r="G44" i="3"/>
  <c r="G46" i="3"/>
  <c r="G49" i="3"/>
  <c r="G50" i="3"/>
  <c r="G51" i="3"/>
  <c r="F13" i="3"/>
  <c r="F14" i="3"/>
  <c r="F15" i="3"/>
  <c r="F17" i="3"/>
  <c r="F22" i="3"/>
  <c r="F27" i="3"/>
  <c r="F48" i="3"/>
  <c r="D12" i="3"/>
  <c r="D48" i="3"/>
  <c r="G48" i="3" s="1"/>
  <c r="H12" i="3" l="1"/>
  <c r="K12" i="3" s="1"/>
  <c r="H11" i="3" l="1"/>
  <c r="J12" i="3"/>
  <c r="H19" i="3"/>
  <c r="K19" i="3" s="1"/>
  <c r="H34" i="3"/>
  <c r="K34" i="3" s="1"/>
  <c r="H53" i="3"/>
  <c r="H52" i="3" l="1"/>
  <c r="K52" i="3" s="1"/>
  <c r="K53" i="3"/>
  <c r="H32" i="3"/>
  <c r="K32" i="3" s="1"/>
  <c r="G14" i="10"/>
  <c r="G15" i="10"/>
  <c r="G16" i="10"/>
  <c r="G18" i="10"/>
  <c r="G20" i="10"/>
  <c r="G22" i="10"/>
  <c r="G24" i="10"/>
  <c r="G25" i="10"/>
  <c r="G26" i="10"/>
  <c r="G27" i="10"/>
  <c r="G28" i="10"/>
  <c r="G29" i="10"/>
  <c r="G30" i="10"/>
  <c r="G41" i="10"/>
  <c r="F42" i="10"/>
  <c r="F41" i="10"/>
  <c r="E40" i="10"/>
  <c r="F30" i="10"/>
  <c r="F28" i="10"/>
  <c r="F26" i="10"/>
  <c r="F27" i="10"/>
  <c r="F25" i="10"/>
  <c r="F24" i="10"/>
  <c r="F22" i="10"/>
  <c r="F20" i="10"/>
  <c r="F18" i="10"/>
  <c r="F15" i="10"/>
  <c r="F16" i="10"/>
  <c r="F14" i="10"/>
  <c r="F40" i="10" l="1"/>
  <c r="H18" i="3"/>
  <c r="K18" i="3" s="1"/>
  <c r="I18" i="3" l="1"/>
  <c r="H10" i="3"/>
  <c r="K10" i="3" s="1"/>
  <c r="F13" i="10"/>
  <c r="H9" i="3" l="1"/>
  <c r="K9" i="3" s="1"/>
  <c r="J49" i="10"/>
  <c r="I49" i="10"/>
  <c r="D49" i="10"/>
  <c r="C49" i="10"/>
  <c r="L45" i="10"/>
  <c r="D45" i="10"/>
  <c r="M45" i="10" s="1"/>
  <c r="D43" i="10"/>
  <c r="D42" i="10" s="1"/>
  <c r="C42" i="10"/>
  <c r="C40" i="10" s="1"/>
  <c r="G40" i="10" s="1"/>
  <c r="L41" i="10"/>
  <c r="D41" i="10"/>
  <c r="H41" i="10" s="1"/>
  <c r="L35" i="10"/>
  <c r="D35" i="10"/>
  <c r="L34" i="10"/>
  <c r="L30" i="10"/>
  <c r="D30" i="10"/>
  <c r="H30" i="10" s="1"/>
  <c r="L29" i="10"/>
  <c r="D29" i="10"/>
  <c r="L28" i="10"/>
  <c r="D28" i="10"/>
  <c r="L27" i="10"/>
  <c r="D27" i="10"/>
  <c r="L26" i="10"/>
  <c r="L25" i="10"/>
  <c r="D25" i="10"/>
  <c r="H25" i="10" s="1"/>
  <c r="L24" i="10"/>
  <c r="D24" i="10"/>
  <c r="L22" i="10"/>
  <c r="D22" i="10"/>
  <c r="L20" i="10"/>
  <c r="D20" i="10"/>
  <c r="H20" i="10" s="1"/>
  <c r="L18" i="10"/>
  <c r="J13" i="10"/>
  <c r="D18" i="10"/>
  <c r="L16" i="10"/>
  <c r="D16" i="10"/>
  <c r="L15" i="10"/>
  <c r="D15" i="10"/>
  <c r="L14" i="10"/>
  <c r="D14" i="10"/>
  <c r="K13" i="10"/>
  <c r="K11" i="10" s="1"/>
  <c r="E13" i="10"/>
  <c r="C13" i="10"/>
  <c r="M24" i="10" l="1"/>
  <c r="H24" i="10"/>
  <c r="N13" i="10"/>
  <c r="M15" i="10"/>
  <c r="H15" i="10"/>
  <c r="M18" i="10"/>
  <c r="H18" i="10"/>
  <c r="D26" i="10"/>
  <c r="H26" i="10" s="1"/>
  <c r="H27" i="10"/>
  <c r="M29" i="10"/>
  <c r="H29" i="10"/>
  <c r="M22" i="10"/>
  <c r="H22" i="10"/>
  <c r="D13" i="10"/>
  <c r="H13" i="10" s="1"/>
  <c r="M14" i="10"/>
  <c r="H14" i="10"/>
  <c r="M16" i="10"/>
  <c r="H16" i="10"/>
  <c r="M28" i="10"/>
  <c r="H28" i="10"/>
  <c r="L40" i="10"/>
  <c r="G13" i="10"/>
  <c r="M41" i="10"/>
  <c r="M26" i="10"/>
  <c r="M20" i="10"/>
  <c r="D40" i="10"/>
  <c r="M40" i="10" s="1"/>
  <c r="M35" i="10"/>
  <c r="K9" i="10"/>
  <c r="K10" i="10"/>
  <c r="I9" i="10"/>
  <c r="C11" i="10"/>
  <c r="C12" i="10" s="1"/>
  <c r="J11" i="10"/>
  <c r="J12" i="10" s="1"/>
  <c r="L13" i="10"/>
  <c r="M25" i="10"/>
  <c r="M30" i="10"/>
  <c r="M27" i="10"/>
  <c r="I10" i="10"/>
  <c r="N10" i="10" s="1"/>
  <c r="D34" i="10"/>
  <c r="M34" i="10" s="1"/>
  <c r="I12" i="10" l="1"/>
  <c r="N11" i="10"/>
  <c r="M13" i="10"/>
  <c r="H40" i="10"/>
  <c r="D11" i="10"/>
  <c r="D12" i="10" s="1"/>
  <c r="M12" i="10" s="1"/>
  <c r="C9" i="10"/>
  <c r="L9" i="10" s="1"/>
  <c r="C10" i="10"/>
  <c r="L10" i="10" s="1"/>
  <c r="L11" i="10"/>
  <c r="D9" i="10"/>
  <c r="J10" i="10"/>
  <c r="J9" i="10"/>
  <c r="L12" i="10" l="1"/>
  <c r="N12" i="10"/>
  <c r="D10" i="10"/>
  <c r="M10" i="10"/>
  <c r="M9" i="10"/>
  <c r="M11" i="10"/>
  <c r="M53" i="3" l="1"/>
  <c r="M52" i="3" s="1"/>
  <c r="M34" i="3"/>
  <c r="M32" i="3" s="1"/>
  <c r="M31" i="3"/>
  <c r="M19" i="3"/>
  <c r="M12" i="3"/>
  <c r="M11" i="3" s="1"/>
  <c r="M18" i="3" l="1"/>
  <c r="M10" i="3" s="1"/>
  <c r="M9" i="3" s="1"/>
  <c r="D11" i="3"/>
  <c r="C12" i="3"/>
  <c r="I12" i="3" s="1"/>
  <c r="E53" i="3"/>
  <c r="E52" i="3" s="1"/>
  <c r="D52" i="3"/>
  <c r="E32" i="3"/>
  <c r="D34" i="3"/>
  <c r="D19" i="3"/>
  <c r="J19" i="3" s="1"/>
  <c r="C11" i="3"/>
  <c r="G19" i="3" l="1"/>
  <c r="D32" i="3"/>
  <c r="J32" i="3" s="1"/>
  <c r="G34" i="3"/>
  <c r="J34" i="3"/>
  <c r="C10" i="3"/>
  <c r="I11" i="3"/>
  <c r="J11" i="3"/>
  <c r="E18" i="3"/>
  <c r="D18" i="3" l="1"/>
  <c r="G18" i="3" s="1"/>
  <c r="G32" i="3"/>
  <c r="C9" i="3"/>
  <c r="I9" i="3" s="1"/>
  <c r="I10" i="3"/>
  <c r="G12" i="3"/>
  <c r="E11" i="3"/>
  <c r="F18" i="3"/>
  <c r="F12" i="3"/>
  <c r="E10" i="3" l="1"/>
  <c r="J18" i="3"/>
  <c r="D10" i="3"/>
  <c r="F11" i="3"/>
  <c r="G11" i="3"/>
  <c r="C14" i="8"/>
  <c r="E32" i="8"/>
  <c r="E15" i="8"/>
  <c r="E9" i="3" l="1"/>
  <c r="D9" i="3"/>
  <c r="J9" i="3" s="1"/>
  <c r="J10" i="3"/>
  <c r="G10" i="3"/>
  <c r="F10" i="3"/>
  <c r="C23" i="8"/>
  <c r="F9" i="3" l="1"/>
  <c r="G9" i="3"/>
  <c r="C30" i="8" l="1"/>
  <c r="C33" i="8" l="1"/>
  <c r="C22" i="8" s="1"/>
  <c r="D30" i="8" l="1"/>
  <c r="D23" i="8"/>
  <c r="D13" i="8"/>
  <c r="D14" i="8" s="1"/>
  <c r="C13" i="8"/>
  <c r="D22" i="8" l="1"/>
  <c r="E22" i="8" s="1"/>
  <c r="E13" i="8"/>
  <c r="C12" i="8"/>
  <c r="D12" i="8"/>
  <c r="D21" i="8" l="1"/>
  <c r="E14" i="8"/>
  <c r="E12" i="8"/>
  <c r="C21" i="8" l="1"/>
  <c r="G34" i="10" l="1"/>
  <c r="E11" i="10"/>
  <c r="G35" i="10"/>
  <c r="F35" i="10"/>
  <c r="H35" i="10" s="1"/>
  <c r="F34" i="10"/>
  <c r="H34" i="10" s="1"/>
  <c r="E12" i="10" l="1"/>
  <c r="G12" i="10" s="1"/>
  <c r="E9" i="10"/>
  <c r="E10" i="10"/>
  <c r="G11" i="10"/>
  <c r="F11" i="10"/>
  <c r="F12" i="10" s="1"/>
  <c r="H12" i="10" s="1"/>
  <c r="G10" i="10" l="1"/>
  <c r="H11" i="10"/>
  <c r="F10" i="10"/>
  <c r="H10" i="10" s="1"/>
</calcChain>
</file>

<file path=xl/comments1.xml><?xml version="1.0" encoding="utf-8"?>
<comments xmlns="http://schemas.openxmlformats.org/spreadsheetml/2006/main">
  <authors>
    <author>PhongVuBienHoa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PhongVuBienHoa:</t>
        </r>
        <r>
          <rPr>
            <sz val="8"/>
            <color indexed="81"/>
            <rFont val="Tahoma"/>
            <family val="2"/>
          </rPr>
          <t xml:space="preserve">
của xã tp ko hưởng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3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SỐ CHI chuyển nguồn xdcb</t>
        </r>
      </text>
    </comment>
  </commentList>
</comments>
</file>

<file path=xl/sharedStrings.xml><?xml version="1.0" encoding="utf-8"?>
<sst xmlns="http://schemas.openxmlformats.org/spreadsheetml/2006/main" count="235" uniqueCount="182">
  <si>
    <t>STT</t>
  </si>
  <si>
    <t>A</t>
  </si>
  <si>
    <t>B</t>
  </si>
  <si>
    <t>Nội dung</t>
  </si>
  <si>
    <t>3=2/1</t>
  </si>
  <si>
    <t>I</t>
  </si>
  <si>
    <t>Chi đầu tư phát triển</t>
  </si>
  <si>
    <t>Dự phòng ngân sách</t>
  </si>
  <si>
    <t>II</t>
  </si>
  <si>
    <t>III</t>
  </si>
  <si>
    <t>C</t>
  </si>
  <si>
    <t>IV</t>
  </si>
  <si>
    <t>CỘNG HÒA XÃ HỘI CHỦ NGHĨA VIỆT NAM</t>
  </si>
  <si>
    <t>Độc Lập - Tự do- Hạnh Phúc</t>
  </si>
  <si>
    <t>CÂN ĐỐI NGÂN SÁCH THÀNH PHỐ BIÊN HÒA</t>
  </si>
  <si>
    <t>a</t>
  </si>
  <si>
    <t>b</t>
  </si>
  <si>
    <t>Tỉnh thu thành phố hưởng</t>
  </si>
  <si>
    <t>Chi cân đối ngân sách thành phố</t>
  </si>
  <si>
    <t xml:space="preserve">Chi thường xuyên </t>
  </si>
  <si>
    <t>trong đó: cấp thành phố</t>
  </si>
  <si>
    <t>Thu khác ngân sách</t>
  </si>
  <si>
    <t>Thu bổ sung từ ngân sách cấp trên</t>
  </si>
  <si>
    <t>D</t>
  </si>
  <si>
    <t>Chi quốc phòng</t>
  </si>
  <si>
    <t>Chi thường xuyên</t>
  </si>
  <si>
    <t>Khối phường xã</t>
  </si>
  <si>
    <t>Thu kết dư năm trước chuyển sang</t>
  </si>
  <si>
    <t>UBND THÀNH PHỐ BIÊN HÒA</t>
  </si>
  <si>
    <t>PHÒNG TÀI CHÍNH KẾ HOẠCH</t>
  </si>
  <si>
    <t>Chi XDCB nguồn vốn tập trung</t>
  </si>
  <si>
    <t>Chi XDCB nguồn thu tiền sử dụng đất</t>
  </si>
  <si>
    <t>Chi XDCB nguồn xổ sổ kiến thiết</t>
  </si>
  <si>
    <t>Chi tạo nguồn cải cách tiền lương</t>
  </si>
  <si>
    <t xml:space="preserve">Thu cân đối ngân sách thành phố </t>
  </si>
  <si>
    <t>Thu Nội đia</t>
  </si>
  <si>
    <t>Chi đầu tư XDCB</t>
  </si>
  <si>
    <t>Thu quản lý qua ngân sách</t>
  </si>
  <si>
    <t>Thu chuyển nguồn từ năm trước chuyển sang</t>
  </si>
  <si>
    <t>TỔNG CHI NGÂN SÁCH HUYỆN (I+II+III)</t>
  </si>
  <si>
    <t>Tạm chi chưa đưa vào cân đối NS</t>
  </si>
  <si>
    <t>TỔNG NGUỒN THU NSNN TRÊN ĐỊA BÀN ( I+II)</t>
  </si>
  <si>
    <t>-</t>
  </si>
  <si>
    <t>Chi đầu tư phát triển NS thành phố</t>
  </si>
  <si>
    <t>Chi XDCB NS phường xã</t>
  </si>
  <si>
    <t>V</t>
  </si>
  <si>
    <t>Trong đó: nếu loại trừ tiền sử dụng đất</t>
  </si>
  <si>
    <t xml:space="preserve">Chi nộp ngân sách cấp trên </t>
  </si>
  <si>
    <t>Chi chuyển giao ngân sách ( bs ngân sách cấp dưới)</t>
  </si>
  <si>
    <t>Độc Lập - Tự do - Hạnh phúc</t>
  </si>
  <si>
    <t>Thu trên địa bàn</t>
  </si>
  <si>
    <t>Thu điều tiết</t>
  </si>
  <si>
    <t>Thu từ khu vực kinh tế ngoài quốc doanh</t>
  </si>
  <si>
    <t>Trong đó: Thu từ cơ sở kinh doanh nhập khẩu tiếp tục bán ra trong nước</t>
  </si>
  <si>
    <t>- Thuế tài nguyên</t>
  </si>
  <si>
    <t>Thuế sử dụng đất nông nghiệp</t>
  </si>
  <si>
    <t>Thuế CQSDĐ</t>
  </si>
  <si>
    <t>Phí, lệ phí</t>
  </si>
  <si>
    <t>- Phí, lệ phí do cơ quan nhà nước địa phương thu</t>
  </si>
  <si>
    <t>Thu tiền thuê đất, mặt nước</t>
  </si>
  <si>
    <t>Thu từ bán tài sản nhà nước</t>
  </si>
  <si>
    <t xml:space="preserve">                - Do địa phương quản lý</t>
  </si>
  <si>
    <t>Thu tiền cho thuê và bán nhà ở thuộc sở hữu nhà nước</t>
  </si>
  <si>
    <t>Trong cân đối</t>
  </si>
  <si>
    <t>Thu từ quỹ đất công ích và thu hoa lợi công sản khác</t>
  </si>
  <si>
    <t>Thu các quyền khai thác khoáng sản</t>
  </si>
  <si>
    <t>Thu từ hoạt động xổ số kiến thiết (kể cả hoạt động xổ số điện toán)</t>
  </si>
  <si>
    <t>THU TỪ DẦU THÔ</t>
  </si>
  <si>
    <t>Thu bổ sung từ ngân sách tỉnh</t>
  </si>
  <si>
    <t>- Thu bổ sung cân đối</t>
  </si>
  <si>
    <t xml:space="preserve">      + Bổ sung đợt I</t>
  </si>
  <si>
    <t xml:space="preserve">      + Bổ sung đợt II</t>
  </si>
  <si>
    <t>Thu từ nguồn thu tại đơn vị</t>
  </si>
  <si>
    <t xml:space="preserve"> - Số thu thành phố hưởng </t>
  </si>
  <si>
    <t>KHOẢN CHI</t>
  </si>
  <si>
    <t xml:space="preserve"> % (Thực hiện/dự toán tỉnh giao)</t>
  </si>
  <si>
    <t>TỔNG CHI NGÂN SÁCH ĐỊA PHƯƠNG ( A+B+C+D)</t>
  </si>
  <si>
    <t xml:space="preserve"> CHI CÂN ĐỐI NS ĐỊA PHƯƠNG ( I+II+III)</t>
  </si>
  <si>
    <t>Chi đầu tư phát triển thành phố</t>
  </si>
  <si>
    <t>Chi đầu tư NS thành phố</t>
  </si>
  <si>
    <t>chi đầu tư XDCB tập trung</t>
  </si>
  <si>
    <t>Chi đầu tư XDCB từ nguồn sử dụng đất</t>
  </si>
  <si>
    <t>Chi đầu tư XDCB từ nguồn xổ số kiến thiết</t>
  </si>
  <si>
    <t xml:space="preserve">Chi thường xuyên theo lĩnh vực </t>
  </si>
  <si>
    <t>II.1</t>
  </si>
  <si>
    <t>Ngân sách thành phố</t>
  </si>
  <si>
    <t>Chi an ninh</t>
  </si>
  <si>
    <t xml:space="preserve">Chi sự nghiệp GDĐT và Dạy nghề </t>
  </si>
  <si>
    <t xml:space="preserve">Chi sự nghiệp y tế </t>
  </si>
  <si>
    <t xml:space="preserve">Chi SN văn hóa thông tin </t>
  </si>
  <si>
    <t xml:space="preserve">Chi SN truyền thanh </t>
  </si>
  <si>
    <t xml:space="preserve">Chi SN thể dục -TT </t>
  </si>
  <si>
    <t xml:space="preserve">Chi SN môi trường  </t>
  </si>
  <si>
    <t xml:space="preserve">Chi SN kinh tế </t>
  </si>
  <si>
    <t xml:space="preserve">Chi bảo đảm XH </t>
  </si>
  <si>
    <t xml:space="preserve">Chi lĩnh vực khác </t>
  </si>
  <si>
    <t>II.2</t>
  </si>
  <si>
    <t xml:space="preserve">Ngân sách phường, xã </t>
  </si>
  <si>
    <t>2.1</t>
  </si>
  <si>
    <t>2.2</t>
  </si>
  <si>
    <t>2.3</t>
  </si>
  <si>
    <t>2.4</t>
  </si>
  <si>
    <t>2.5</t>
  </si>
  <si>
    <t>2.6</t>
  </si>
  <si>
    <t>2.7</t>
  </si>
  <si>
    <t>2.8</t>
  </si>
  <si>
    <t>Chi QL nhà nước, các hội đoàn thể</t>
  </si>
  <si>
    <t>2.9</t>
  </si>
  <si>
    <t>2.10</t>
  </si>
  <si>
    <t>Nhiệm vụ Chi khác XDCB ( chuyển vốn ủy thác)</t>
  </si>
  <si>
    <t xml:space="preserve">CHI CHUYỂN GIAO NGÂN SÁCH </t>
  </si>
  <si>
    <t xml:space="preserve">Chi bổ sung ngân sách cấp xã </t>
  </si>
  <si>
    <t>bổ sung cân đối</t>
  </si>
  <si>
    <t>bổ sung mục tiêu</t>
  </si>
  <si>
    <t>Dự phòng</t>
  </si>
  <si>
    <t>Ngân sách phường xã</t>
  </si>
  <si>
    <t>E</t>
  </si>
  <si>
    <t>CHI CHUYỂN NGUỒN</t>
  </si>
  <si>
    <t>Dự toán năm 2023</t>
  </si>
  <si>
    <t>So sánh ước thực hiện với (%)</t>
  </si>
  <si>
    <t>Cùng kỳ năm trước</t>
  </si>
  <si>
    <t>ĐVT: đồng</t>
  </si>
  <si>
    <t>So sánh</t>
  </si>
  <si>
    <t>% ước thực hiệnthu địa bàn / DT 2023</t>
  </si>
  <si>
    <t>% ước thực hiện thu điều tiết năm / DT 2023</t>
  </si>
  <si>
    <t xml:space="preserve">TỔNG THU NSNN TRÊN ĐỊA BÀN (I+II+III+IV+V+VI) </t>
  </si>
  <si>
    <t>THU NỘI ĐỊA</t>
  </si>
  <si>
    <t>' Thuế GTGT ( 50%)</t>
  </si>
  <si>
    <t>- Thuế thu nhập doanh nghiệp (50%)</t>
  </si>
  <si>
    <t>- Thuế tiêu thụ đặc biệt ( 50%)</t>
  </si>
  <si>
    <t>Lệ phí trước bạ (100%)</t>
  </si>
  <si>
    <t>Thuế sử dụng đất phi nông nghiệp (100%)</t>
  </si>
  <si>
    <t>Thuế thu nhập cá nhân (50%)</t>
  </si>
  <si>
    <t>Thuế bảo vệ môi trường (50%)</t>
  </si>
  <si>
    <t>Tiền sử dụng đất (60%)</t>
  </si>
  <si>
    <t>- Thu do cơ quan, tổ chức, đơn vị thuộc địa phương quản lý</t>
  </si>
  <si>
    <t>- Thu bổ sung mục tiêu</t>
  </si>
  <si>
    <t>- Thu bổ sung mục tiêu từ nguồn xổ sổ kiến thiết</t>
  </si>
  <si>
    <t>Thu chuyển nguồn</t>
  </si>
  <si>
    <t>Thu nộp ngân sách cấp trên</t>
  </si>
  <si>
    <t>VI</t>
  </si>
  <si>
    <t>Thu kết dư</t>
  </si>
  <si>
    <t>VII</t>
  </si>
  <si>
    <t>Thu từ các đơn vị sự nghiệp tại địa phương (60%)</t>
  </si>
  <si>
    <t>Ghi chú: (1) Bao gồm các khoản thu NSĐP hưởng 100%, các khoản thu phân chia giữa NSTW và NSĐP.</t>
  </si>
  <si>
    <t>Dự toán tỉnh giao</t>
  </si>
  <si>
    <t>Dự toán HĐND giao</t>
  </si>
  <si>
    <t xml:space="preserve"> % (Thực hiện/dự toán hđnd  giao)</t>
  </si>
  <si>
    <t>Chi QL nhà nước</t>
  </si>
  <si>
    <t>Nhiệm vụ chi khác ( ghi chi tiền sử dụng đất)</t>
  </si>
  <si>
    <t>CHI ĐẦU TƯ PHÁT TRIỂN (chi chuyển nguồn)</t>
  </si>
  <si>
    <t>so cùng kỳ</t>
  </si>
  <si>
    <t>Chi đầu tư NS phường xã</t>
  </si>
  <si>
    <t>Quý 1 năm 2022</t>
  </si>
  <si>
    <t>5=3/1</t>
  </si>
  <si>
    <t>6=4/2</t>
  </si>
  <si>
    <t>6 tháng năm 2022</t>
  </si>
  <si>
    <t>Thu NSNN năm 2023</t>
  </si>
  <si>
    <t>9=7/1</t>
  </si>
  <si>
    <t>10=8/2</t>
  </si>
  <si>
    <t>Chi đầu tư XDCB từ nguồn thưởng vượt thu 2021</t>
  </si>
  <si>
    <t>TẠM CHI CHƯA ĐƯA VÀO CÂN ĐỐI NS</t>
  </si>
  <si>
    <t>% so cùng kỳ</t>
  </si>
  <si>
    <t>Chi XDCB nguồn thưởng vượt thu 2021</t>
  </si>
  <si>
    <t>trong đó:( nếu loại trừ tiền sử dụng đất)</t>
  </si>
  <si>
    <t>Chi khác XDCB</t>
  </si>
  <si>
    <t>Thực hiện chi quý 4/2023</t>
  </si>
  <si>
    <t>thực hiện năm 2023</t>
  </si>
  <si>
    <t>BÁO CÁO TÌNH HÌNH THỰC HIỆN CHI NGÂN SÁCH QUÝ IV NĂM 2023</t>
  </si>
  <si>
    <t xml:space="preserve"> TÌNH HÌNH THỰC HIỆN THU NGÂN SÁCH QUÝ IV NĂM 2023</t>
  </si>
  <si>
    <t>Thu Quý IV/2023</t>
  </si>
  <si>
    <t>Thu điều tiết quý IV/2023</t>
  </si>
  <si>
    <t>Thu trên địa bàn năm 2023</t>
  </si>
  <si>
    <t>Thu điều tiết  năm 2023</t>
  </si>
  <si>
    <t>QUÝ IV NĂM 2023</t>
  </si>
  <si>
    <t>Thực hiện quý IV/2023</t>
  </si>
  <si>
    <t>Thực hiện năm 2023</t>
  </si>
  <si>
    <t>5=4/1</t>
  </si>
  <si>
    <t>So sánh  thực hiện với (%)</t>
  </si>
  <si>
    <t>Thu nộp chậm</t>
  </si>
  <si>
    <t>THU NGÂN SÁCH ĐỊA PHƯƠNG (A+B)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</si>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</sst>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0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"/>
    </font>
    <font>
      <sz val="11"/>
      <color theme="1"/>
      <name val="Times New Roman"/>
      <family val="1"/>
    </font>
    <font>
      <sz val="11"/>
      <color theme="1"/>
      <name val="T"/>
    </font>
    <font>
      <sz val="10"/>
      <name val="Arial"/>
      <family val="2"/>
      <charset val="163"/>
    </font>
    <font>
      <b/>
      <sz val="1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name val="Cambria"/>
      <family val="1"/>
      <charset val="163"/>
      <scheme val="maj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2"/>
    </font>
    <font>
      <sz val="12"/>
      <name val="Cambria"/>
      <family val="1"/>
      <scheme val="major"/>
    </font>
    <font>
      <b/>
      <sz val="12"/>
      <color rgb="FFFF0000"/>
      <name val="Times New Roman"/>
      <family val="1"/>
    </font>
    <font>
      <b/>
      <sz val="11"/>
      <name val="Cambria"/>
      <family val="1"/>
      <charset val="163"/>
      <scheme val="major"/>
    </font>
    <font>
      <b/>
      <sz val="11"/>
      <name val="Cambria"/>
      <family val="1"/>
      <scheme val="major"/>
    </font>
    <font>
      <b/>
      <u val="singleAccounting"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color rgb="FFFF0000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dotted">
        <color indexed="64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</cellStyleXfs>
  <cellXfs count="264">
    <xf numFmtId="0" fontId="0" fillId="0" borderId="0" xfId="0"/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9" fontId="5" fillId="0" borderId="1" xfId="2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0" fontId="5" fillId="0" borderId="0" xfId="0" applyFont="1" applyAlignment="1">
      <alignment vertical="center"/>
    </xf>
    <xf numFmtId="9" fontId="6" fillId="0" borderId="0" xfId="2" applyFont="1" applyBorder="1" applyAlignment="1">
      <alignment horizontal="center" vertical="center" wrapText="1"/>
    </xf>
    <xf numFmtId="164" fontId="6" fillId="0" borderId="0" xfId="1" applyNumberFormat="1" applyFont="1"/>
    <xf numFmtId="164" fontId="6" fillId="0" borderId="0" xfId="0" applyNumberFormat="1" applyFont="1"/>
    <xf numFmtId="164" fontId="11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3" fontId="0" fillId="0" borderId="0" xfId="0" applyNumberFormat="1"/>
    <xf numFmtId="0" fontId="0" fillId="0" borderId="0" xfId="0" applyFont="1"/>
    <xf numFmtId="0" fontId="16" fillId="0" borderId="7" xfId="0" applyFont="1" applyFill="1" applyBorder="1" applyAlignment="1">
      <alignment vertical="top"/>
    </xf>
    <xf numFmtId="0" fontId="17" fillId="0" borderId="7" xfId="3" applyFont="1" applyFill="1" applyBorder="1" applyAlignment="1">
      <alignment horizontal="left" vertical="top" wrapText="1"/>
    </xf>
    <xf numFmtId="3" fontId="10" fillId="2" borderId="7" xfId="0" applyNumberFormat="1" applyFont="1" applyFill="1" applyBorder="1" applyAlignment="1">
      <alignment vertical="distributed"/>
    </xf>
    <xf numFmtId="9" fontId="15" fillId="0" borderId="1" xfId="2" applyFont="1" applyFill="1" applyBorder="1" applyAlignment="1">
      <alignment vertical="distributed"/>
    </xf>
    <xf numFmtId="3" fontId="0" fillId="0" borderId="0" xfId="0" applyNumberFormat="1" applyFont="1"/>
    <xf numFmtId="0" fontId="16" fillId="2" borderId="1" xfId="0" applyFont="1" applyFill="1" applyBorder="1" applyAlignment="1">
      <alignment vertical="top"/>
    </xf>
    <xf numFmtId="0" fontId="17" fillId="2" borderId="1" xfId="3" applyFont="1" applyFill="1" applyBorder="1" applyAlignment="1">
      <alignment horizontal="left" vertical="top" wrapText="1"/>
    </xf>
    <xf numFmtId="3" fontId="15" fillId="2" borderId="1" xfId="0" applyNumberFormat="1" applyFont="1" applyFill="1" applyBorder="1" applyAlignment="1">
      <alignment vertical="distributed"/>
    </xf>
    <xf numFmtId="0" fontId="0" fillId="2" borderId="0" xfId="0" applyFont="1" applyFill="1"/>
    <xf numFmtId="3" fontId="15" fillId="2" borderId="3" xfId="0" applyNumberFormat="1" applyFont="1" applyFill="1" applyBorder="1" applyAlignment="1">
      <alignment vertical="distributed"/>
    </xf>
    <xf numFmtId="3" fontId="20" fillId="2" borderId="3" xfId="0" applyNumberFormat="1" applyFont="1" applyFill="1" applyBorder="1" applyAlignment="1">
      <alignment horizontal="right" vertical="distributed"/>
    </xf>
    <xf numFmtId="3" fontId="15" fillId="2" borderId="3" xfId="0" applyNumberFormat="1" applyFont="1" applyFill="1" applyBorder="1" applyAlignment="1">
      <alignment horizontal="right" vertical="distributed"/>
    </xf>
    <xf numFmtId="0" fontId="16" fillId="0" borderId="1" xfId="0" applyFont="1" applyFill="1" applyBorder="1" applyAlignment="1">
      <alignment vertical="top"/>
    </xf>
    <xf numFmtId="164" fontId="16" fillId="0" borderId="1" xfId="1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distributed"/>
    </xf>
    <xf numFmtId="3" fontId="20" fillId="2" borderId="1" xfId="0" applyNumberFormat="1" applyFont="1" applyFill="1" applyBorder="1" applyAlignment="1">
      <alignment vertical="distributed"/>
    </xf>
    <xf numFmtId="3" fontId="20" fillId="2" borderId="9" xfId="0" applyNumberFormat="1" applyFont="1" applyFill="1" applyBorder="1" applyAlignment="1">
      <alignment horizontal="right" vertical="distributed"/>
    </xf>
    <xf numFmtId="3" fontId="20" fillId="2" borderId="6" xfId="0" applyNumberFormat="1" applyFont="1" applyFill="1" applyBorder="1" applyAlignment="1">
      <alignment horizontal="right" vertical="distributed"/>
    </xf>
    <xf numFmtId="3" fontId="20" fillId="2" borderId="4" xfId="0" applyNumberFormat="1" applyFont="1" applyFill="1" applyBorder="1" applyAlignment="1">
      <alignment horizontal="right" vertical="distributed"/>
    </xf>
    <xf numFmtId="3" fontId="20" fillId="2" borderId="4" xfId="0" applyNumberFormat="1" applyFont="1" applyFill="1" applyBorder="1" applyAlignment="1">
      <alignment vertical="distributed"/>
    </xf>
    <xf numFmtId="0" fontId="17" fillId="0" borderId="1" xfId="0" applyFont="1" applyFill="1" applyBorder="1" applyAlignment="1">
      <alignment vertical="top"/>
    </xf>
    <xf numFmtId="3" fontId="21" fillId="2" borderId="1" xfId="0" applyNumberFormat="1" applyFont="1" applyFill="1" applyBorder="1" applyAlignment="1">
      <alignment vertical="distributed"/>
    </xf>
    <xf numFmtId="0" fontId="18" fillId="0" borderId="1" xfId="0" applyFont="1" applyFill="1" applyBorder="1" applyAlignment="1">
      <alignment horizontal="center" vertical="top"/>
    </xf>
    <xf numFmtId="3" fontId="20" fillId="2" borderId="1" xfId="0" applyNumberFormat="1" applyFont="1" applyFill="1" applyBorder="1" applyAlignment="1">
      <alignment horizontal="right" vertical="distributed"/>
    </xf>
    <xf numFmtId="3" fontId="15" fillId="0" borderId="1" xfId="0" applyNumberFormat="1" applyFont="1" applyFill="1" applyBorder="1" applyAlignment="1">
      <alignment horizontal="right" vertical="distributed"/>
    </xf>
    <xf numFmtId="0" fontId="17" fillId="0" borderId="1" xfId="0" applyFont="1" applyFill="1" applyBorder="1" applyAlignment="1">
      <alignment horizontal="center" vertical="top"/>
    </xf>
    <xf numFmtId="3" fontId="20" fillId="2" borderId="9" xfId="0" applyNumberFormat="1" applyFont="1" applyFill="1" applyBorder="1" applyAlignment="1">
      <alignment vertical="distributed"/>
    </xf>
    <xf numFmtId="0" fontId="22" fillId="0" borderId="4" xfId="0" applyFont="1" applyFill="1" applyBorder="1" applyAlignment="1">
      <alignment vertical="top"/>
    </xf>
    <xf numFmtId="3" fontId="20" fillId="2" borderId="6" xfId="0" applyNumberFormat="1" applyFont="1" applyFill="1" applyBorder="1" applyAlignment="1">
      <alignment vertical="distributed"/>
    </xf>
    <xf numFmtId="3" fontId="15" fillId="2" borderId="1" xfId="0" applyNumberFormat="1" applyFont="1" applyFill="1" applyBorder="1" applyAlignment="1">
      <alignment horizontal="right" vertical="distributed"/>
    </xf>
    <xf numFmtId="0" fontId="17" fillId="2" borderId="1" xfId="0" applyFont="1" applyFill="1" applyBorder="1" applyAlignment="1">
      <alignment vertical="top"/>
    </xf>
    <xf numFmtId="164" fontId="19" fillId="2" borderId="13" xfId="1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distributed"/>
    </xf>
    <xf numFmtId="3" fontId="15" fillId="0" borderId="13" xfId="0" applyNumberFormat="1" applyFont="1" applyFill="1" applyBorder="1" applyAlignment="1">
      <alignment vertical="distributed"/>
    </xf>
    <xf numFmtId="164" fontId="19" fillId="0" borderId="13" xfId="1" applyNumberFormat="1" applyFont="1" applyFill="1" applyBorder="1" applyAlignment="1">
      <alignment vertical="top"/>
    </xf>
    <xf numFmtId="0" fontId="23" fillId="0" borderId="0" xfId="0" applyFont="1"/>
    <xf numFmtId="0" fontId="24" fillId="0" borderId="0" xfId="0" quotePrefix="1" applyFont="1"/>
    <xf numFmtId="164" fontId="2" fillId="0" borderId="0" xfId="1" applyNumberFormat="1" applyFont="1"/>
    <xf numFmtId="3" fontId="20" fillId="0" borderId="4" xfId="0" applyNumberFormat="1" applyFont="1" applyFill="1" applyBorder="1" applyAlignment="1">
      <alignment vertical="distributed"/>
    </xf>
    <xf numFmtId="0" fontId="2" fillId="0" borderId="0" xfId="0" applyFont="1" applyAlignment="1"/>
    <xf numFmtId="164" fontId="6" fillId="0" borderId="0" xfId="1" applyNumberFormat="1" applyFont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distributed"/>
    </xf>
    <xf numFmtId="164" fontId="9" fillId="0" borderId="0" xfId="1" applyNumberFormat="1" applyFont="1" applyBorder="1" applyAlignment="1">
      <alignment horizontal="center" vertical="center"/>
    </xf>
    <xf numFmtId="0" fontId="6" fillId="0" borderId="0" xfId="0" applyFont="1"/>
    <xf numFmtId="3" fontId="25" fillId="2" borderId="0" xfId="0" applyNumberFormat="1" applyFont="1" applyFill="1"/>
    <xf numFmtId="3" fontId="10" fillId="2" borderId="1" xfId="0" applyNumberFormat="1" applyFont="1" applyFill="1" applyBorder="1" applyAlignment="1">
      <alignment vertical="distributed"/>
    </xf>
    <xf numFmtId="164" fontId="0" fillId="0" borderId="0" xfId="0" applyNumberFormat="1" applyFont="1"/>
    <xf numFmtId="9" fontId="15" fillId="0" borderId="6" xfId="2" applyFont="1" applyFill="1" applyBorder="1" applyAlignment="1">
      <alignment vertical="distributed"/>
    </xf>
    <xf numFmtId="164" fontId="18" fillId="0" borderId="4" xfId="1" applyNumberFormat="1" applyFont="1" applyFill="1" applyBorder="1" applyAlignment="1">
      <alignment vertical="top"/>
    </xf>
    <xf numFmtId="9" fontId="15" fillId="0" borderId="4" xfId="2" applyFont="1" applyFill="1" applyBorder="1" applyAlignment="1">
      <alignment vertical="distributed"/>
    </xf>
    <xf numFmtId="3" fontId="10" fillId="0" borderId="1" xfId="0" applyNumberFormat="1" applyFont="1" applyFill="1" applyBorder="1" applyAlignment="1">
      <alignment vertical="distributed"/>
    </xf>
    <xf numFmtId="0" fontId="0" fillId="0" borderId="13" xfId="0" applyFont="1" applyBorder="1"/>
    <xf numFmtId="164" fontId="0" fillId="0" borderId="12" xfId="1" applyNumberFormat="1" applyFont="1" applyBorder="1"/>
    <xf numFmtId="164" fontId="28" fillId="0" borderId="0" xfId="1" applyNumberFormat="1" applyFont="1"/>
    <xf numFmtId="164" fontId="29" fillId="0" borderId="3" xfId="1" applyNumberFormat="1" applyFont="1" applyFill="1" applyBorder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6" fillId="3" borderId="14" xfId="1" applyNumberFormat="1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164" fontId="6" fillId="0" borderId="1" xfId="1" applyNumberFormat="1" applyFont="1" applyBorder="1" applyAlignment="1">
      <alignment vertical="center" wrapText="1"/>
    </xf>
    <xf numFmtId="164" fontId="19" fillId="2" borderId="7" xfId="1" applyNumberFormat="1" applyFont="1" applyFill="1" applyBorder="1" applyAlignment="1">
      <alignment vertical="top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3" fontId="10" fillId="0" borderId="1" xfId="0" applyNumberFormat="1" applyFont="1" applyFill="1" applyBorder="1" applyAlignment="1">
      <alignment horizontal="right" vertical="distributed"/>
    </xf>
    <xf numFmtId="0" fontId="0" fillId="0" borderId="19" xfId="0" applyBorder="1"/>
    <xf numFmtId="3" fontId="15" fillId="2" borderId="7" xfId="0" applyNumberFormat="1" applyFont="1" applyFill="1" applyBorder="1" applyAlignment="1">
      <alignment vertical="distributed"/>
    </xf>
    <xf numFmtId="0" fontId="0" fillId="0" borderId="20" xfId="0" applyBorder="1"/>
    <xf numFmtId="0" fontId="16" fillId="0" borderId="4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3" fontId="20" fillId="0" borderId="5" xfId="0" applyNumberFormat="1" applyFont="1" applyFill="1" applyBorder="1" applyAlignment="1">
      <alignment vertical="distributed"/>
    </xf>
    <xf numFmtId="3" fontId="20" fillId="2" borderId="5" xfId="0" applyNumberFormat="1" applyFont="1" applyFill="1" applyBorder="1" applyAlignment="1">
      <alignment vertical="distributed"/>
    </xf>
    <xf numFmtId="0" fontId="17" fillId="2" borderId="6" xfId="0" applyFont="1" applyFill="1" applyBorder="1" applyAlignment="1">
      <alignment vertical="top"/>
    </xf>
    <xf numFmtId="3" fontId="15" fillId="2" borderId="6" xfId="0" applyNumberFormat="1" applyFont="1" applyFill="1" applyBorder="1" applyAlignment="1">
      <alignment vertical="distributed"/>
    </xf>
    <xf numFmtId="0" fontId="15" fillId="2" borderId="1" xfId="0" applyFont="1" applyFill="1" applyBorder="1" applyAlignment="1">
      <alignment wrapText="1"/>
    </xf>
    <xf numFmtId="164" fontId="15" fillId="2" borderId="1" xfId="1" applyNumberFormat="1" applyFont="1" applyFill="1" applyBorder="1"/>
    <xf numFmtId="0" fontId="17" fillId="2" borderId="5" xfId="0" applyFont="1" applyFill="1" applyBorder="1" applyAlignment="1">
      <alignment vertical="top"/>
    </xf>
    <xf numFmtId="164" fontId="18" fillId="0" borderId="5" xfId="1" applyNumberFormat="1" applyFont="1" applyFill="1" applyBorder="1" applyAlignment="1">
      <alignment vertical="top"/>
    </xf>
    <xf numFmtId="3" fontId="15" fillId="2" borderId="5" xfId="0" applyNumberFormat="1" applyFont="1" applyFill="1" applyBorder="1" applyAlignment="1">
      <alignment vertical="distributed"/>
    </xf>
    <xf numFmtId="9" fontId="15" fillId="0" borderId="5" xfId="2" applyFont="1" applyFill="1" applyBorder="1" applyAlignment="1">
      <alignment vertical="distributed"/>
    </xf>
    <xf numFmtId="0" fontId="16" fillId="0" borderId="6" xfId="0" applyFont="1" applyFill="1" applyBorder="1" applyAlignment="1">
      <alignment vertical="top"/>
    </xf>
    <xf numFmtId="3" fontId="15" fillId="0" borderId="6" xfId="0" applyNumberFormat="1" applyFont="1" applyFill="1" applyBorder="1" applyAlignment="1">
      <alignment vertical="distributed"/>
    </xf>
    <xf numFmtId="164" fontId="19" fillId="0" borderId="5" xfId="1" applyNumberFormat="1" applyFont="1" applyFill="1" applyBorder="1" applyAlignment="1">
      <alignment vertical="top"/>
    </xf>
    <xf numFmtId="0" fontId="16" fillId="0" borderId="5" xfId="0" applyFont="1" applyFill="1" applyBorder="1" applyAlignment="1">
      <alignment horizontal="center" vertical="top"/>
    </xf>
    <xf numFmtId="3" fontId="15" fillId="2" borderId="5" xfId="0" applyNumberFormat="1" applyFont="1" applyFill="1" applyBorder="1" applyAlignment="1">
      <alignment horizontal="right" vertical="distributed"/>
    </xf>
    <xf numFmtId="0" fontId="18" fillId="0" borderId="6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vertical="distributed"/>
    </xf>
    <xf numFmtId="9" fontId="6" fillId="0" borderId="1" xfId="2" applyFont="1" applyFill="1" applyBorder="1" applyAlignment="1">
      <alignment vertical="distributed"/>
    </xf>
    <xf numFmtId="9" fontId="15" fillId="0" borderId="3" xfId="2" applyFont="1" applyFill="1" applyBorder="1" applyAlignment="1">
      <alignment vertical="distributed"/>
    </xf>
    <xf numFmtId="3" fontId="20" fillId="0" borderId="8" xfId="0" applyNumberFormat="1" applyFont="1" applyFill="1" applyBorder="1" applyAlignment="1">
      <alignment vertical="distributed"/>
    </xf>
    <xf numFmtId="3" fontId="25" fillId="2" borderId="20" xfId="0" applyNumberFormat="1" applyFont="1" applyFill="1" applyBorder="1"/>
    <xf numFmtId="164" fontId="0" fillId="0" borderId="0" xfId="1" applyNumberFormat="1" applyFont="1" applyBorder="1"/>
    <xf numFmtId="0" fontId="16" fillId="0" borderId="6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vertical="top"/>
    </xf>
    <xf numFmtId="164" fontId="31" fillId="0" borderId="1" xfId="1" applyNumberFormat="1" applyFont="1" applyFill="1" applyBorder="1" applyAlignment="1">
      <alignment vertical="top"/>
    </xf>
    <xf numFmtId="0" fontId="19" fillId="0" borderId="6" xfId="0" applyFont="1" applyFill="1" applyBorder="1" applyAlignment="1">
      <alignment vertical="top"/>
    </xf>
    <xf numFmtId="164" fontId="19" fillId="0" borderId="6" xfId="1" applyNumberFormat="1" applyFont="1" applyFill="1" applyBorder="1" applyAlignment="1">
      <alignment vertical="top"/>
    </xf>
    <xf numFmtId="0" fontId="19" fillId="0" borderId="4" xfId="0" applyFont="1" applyFill="1" applyBorder="1" applyAlignment="1">
      <alignment vertical="top"/>
    </xf>
    <xf numFmtId="164" fontId="19" fillId="0" borderId="4" xfId="1" applyNumberFormat="1" applyFont="1" applyFill="1" applyBorder="1" applyAlignment="1">
      <alignment vertical="top"/>
    </xf>
    <xf numFmtId="0" fontId="29" fillId="0" borderId="4" xfId="0" applyFont="1" applyFill="1" applyBorder="1" applyAlignment="1">
      <alignment vertical="top"/>
    </xf>
    <xf numFmtId="0" fontId="31" fillId="0" borderId="5" xfId="0" applyFont="1" applyFill="1" applyBorder="1" applyAlignment="1">
      <alignment vertical="top"/>
    </xf>
    <xf numFmtId="164" fontId="32" fillId="0" borderId="5" xfId="1" applyNumberFormat="1" applyFont="1" applyFill="1" applyBorder="1" applyAlignment="1">
      <alignment vertical="top"/>
    </xf>
    <xf numFmtId="164" fontId="22" fillId="0" borderId="4" xfId="1" applyNumberFormat="1" applyFont="1" applyFill="1" applyBorder="1" applyAlignment="1">
      <alignment vertical="top"/>
    </xf>
    <xf numFmtId="3" fontId="20" fillId="2" borderId="11" xfId="0" applyNumberFormat="1" applyFont="1" applyFill="1" applyBorder="1" applyAlignment="1">
      <alignment vertical="distributed"/>
    </xf>
    <xf numFmtId="0" fontId="22" fillId="0" borderId="5" xfId="0" applyFont="1" applyFill="1" applyBorder="1" applyAlignment="1">
      <alignment vertical="top"/>
    </xf>
    <xf numFmtId="164" fontId="22" fillId="0" borderId="5" xfId="1" applyNumberFormat="1" applyFont="1" applyFill="1" applyBorder="1" applyAlignment="1">
      <alignment vertical="top"/>
    </xf>
    <xf numFmtId="0" fontId="32" fillId="0" borderId="1" xfId="0" applyFont="1" applyFill="1" applyBorder="1" applyAlignment="1">
      <alignment vertical="top"/>
    </xf>
    <xf numFmtId="164" fontId="32" fillId="0" borderId="1" xfId="1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64" fontId="32" fillId="0" borderId="6" xfId="1" applyNumberFormat="1" applyFont="1" applyFill="1" applyBorder="1" applyAlignment="1">
      <alignment vertical="top"/>
    </xf>
    <xf numFmtId="164" fontId="32" fillId="0" borderId="4" xfId="1" applyNumberFormat="1" applyFont="1" applyFill="1" applyBorder="1" applyAlignment="1">
      <alignment vertical="top"/>
    </xf>
    <xf numFmtId="0" fontId="32" fillId="0" borderId="1" xfId="3" applyFont="1" applyFill="1" applyBorder="1" applyAlignment="1">
      <alignment horizontal="left" vertical="top" wrapText="1"/>
    </xf>
    <xf numFmtId="3" fontId="20" fillId="0" borderId="1" xfId="0" applyNumberFormat="1" applyFont="1" applyFill="1" applyBorder="1" applyAlignment="1">
      <alignment vertical="distributed"/>
    </xf>
    <xf numFmtId="0" fontId="32" fillId="0" borderId="6" xfId="0" applyFont="1" applyFill="1" applyBorder="1" applyAlignment="1">
      <alignment vertical="top"/>
    </xf>
    <xf numFmtId="0" fontId="1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33" fillId="0" borderId="1" xfId="1" applyNumberFormat="1" applyFont="1" applyBorder="1" applyAlignment="1">
      <alignment horizontal="center"/>
    </xf>
    <xf numFmtId="9" fontId="33" fillId="0" borderId="1" xfId="2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5" xfId="0" applyFont="1" applyBorder="1"/>
    <xf numFmtId="164" fontId="6" fillId="0" borderId="5" xfId="1" applyNumberFormat="1" applyFont="1" applyBorder="1"/>
    <xf numFmtId="9" fontId="5" fillId="0" borderId="5" xfId="2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9" fillId="0" borderId="1" xfId="0" applyFont="1" applyBorder="1"/>
    <xf numFmtId="164" fontId="9" fillId="0" borderId="1" xfId="1" applyNumberFormat="1" applyFont="1" applyBorder="1"/>
    <xf numFmtId="0" fontId="5" fillId="0" borderId="6" xfId="0" quotePrefix="1" applyFont="1" applyBorder="1" applyAlignment="1">
      <alignment horizontal="center"/>
    </xf>
    <xf numFmtId="0" fontId="5" fillId="0" borderId="6" xfId="0" applyFont="1" applyBorder="1"/>
    <xf numFmtId="164" fontId="5" fillId="0" borderId="6" xfId="1" applyNumberFormat="1" applyFont="1" applyBorder="1"/>
    <xf numFmtId="164" fontId="5" fillId="0" borderId="5" xfId="1" applyNumberFormat="1" applyFont="1" applyBorder="1"/>
    <xf numFmtId="9" fontId="5" fillId="0" borderId="7" xfId="2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applyFont="1" applyBorder="1"/>
    <xf numFmtId="164" fontId="5" fillId="0" borderId="4" xfId="1" applyNumberFormat="1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33" fillId="0" borderId="1" xfId="1" applyNumberFormat="1" applyFont="1" applyBorder="1"/>
    <xf numFmtId="9" fontId="6" fillId="0" borderId="1" xfId="2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64" fontId="6" fillId="0" borderId="7" xfId="1" applyNumberFormat="1" applyFont="1" applyBorder="1"/>
    <xf numFmtId="9" fontId="6" fillId="0" borderId="7" xfId="2" applyFont="1" applyBorder="1" applyAlignment="1">
      <alignment horizontal="center"/>
    </xf>
    <xf numFmtId="164" fontId="6" fillId="0" borderId="1" xfId="1" applyNumberFormat="1" applyFont="1" applyBorder="1"/>
    <xf numFmtId="9" fontId="5" fillId="0" borderId="1" xfId="2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4" xfId="0" applyFont="1" applyBorder="1"/>
    <xf numFmtId="9" fontId="5" fillId="0" borderId="4" xfId="2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164" fontId="5" fillId="0" borderId="1" xfId="1" applyNumberFormat="1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1" xfId="0" applyFont="1" applyBorder="1" applyAlignment="1">
      <alignment horizontal="center"/>
    </xf>
    <xf numFmtId="0" fontId="6" fillId="0" borderId="3" xfId="0" applyFont="1" applyBorder="1"/>
    <xf numFmtId="164" fontId="5" fillId="0" borderId="3" xfId="1" applyNumberFormat="1" applyFont="1" applyBorder="1"/>
    <xf numFmtId="0" fontId="1" fillId="0" borderId="3" xfId="0" applyFont="1" applyBorder="1"/>
    <xf numFmtId="164" fontId="35" fillId="0" borderId="1" xfId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9" fontId="0" fillId="0" borderId="18" xfId="2" applyFont="1" applyBorder="1"/>
    <xf numFmtId="9" fontId="0" fillId="0" borderId="17" xfId="2" applyFont="1" applyBorder="1"/>
    <xf numFmtId="9" fontId="15" fillId="0" borderId="13" xfId="2" applyFont="1" applyFill="1" applyBorder="1" applyAlignment="1">
      <alignment vertical="distributed"/>
    </xf>
    <xf numFmtId="9" fontId="6" fillId="0" borderId="13" xfId="2" applyFont="1" applyFill="1" applyBorder="1" applyAlignment="1">
      <alignment vertical="distributed"/>
    </xf>
    <xf numFmtId="9" fontId="15" fillId="0" borderId="13" xfId="2" applyFont="1" applyFill="1" applyBorder="1" applyAlignment="1">
      <alignment horizontal="right" vertical="distributed"/>
    </xf>
    <xf numFmtId="9" fontId="10" fillId="0" borderId="13" xfId="2" applyFont="1" applyFill="1" applyBorder="1" applyAlignment="1">
      <alignment horizontal="right" vertical="distributed"/>
    </xf>
    <xf numFmtId="9" fontId="6" fillId="0" borderId="10" xfId="2" applyFont="1" applyFill="1" applyBorder="1" applyAlignment="1">
      <alignment vertical="distributed"/>
    </xf>
    <xf numFmtId="9" fontId="6" fillId="0" borderId="8" xfId="2" applyFont="1" applyFill="1" applyBorder="1" applyAlignment="1">
      <alignment vertical="distributed"/>
    </xf>
    <xf numFmtId="3" fontId="15" fillId="0" borderId="7" xfId="0" applyNumberFormat="1" applyFont="1" applyFill="1" applyBorder="1" applyAlignment="1">
      <alignment vertical="distributed"/>
    </xf>
    <xf numFmtId="9" fontId="15" fillId="0" borderId="7" xfId="2" applyFont="1" applyFill="1" applyBorder="1" applyAlignment="1">
      <alignment vertical="distributed"/>
    </xf>
    <xf numFmtId="9" fontId="15" fillId="0" borderId="8" xfId="2" applyFont="1" applyFill="1" applyBorder="1" applyAlignment="1">
      <alignment vertical="distributed"/>
    </xf>
    <xf numFmtId="9" fontId="15" fillId="0" borderId="10" xfId="2" applyFont="1" applyFill="1" applyBorder="1" applyAlignment="1">
      <alignment vertical="distributed"/>
    </xf>
    <xf numFmtId="164" fontId="37" fillId="0" borderId="1" xfId="1" applyNumberFormat="1" applyFont="1" applyBorder="1" applyAlignment="1">
      <alignment horizontal="center" vertical="center" wrapText="1"/>
    </xf>
    <xf numFmtId="164" fontId="38" fillId="0" borderId="0" xfId="1" applyNumberFormat="1" applyFont="1"/>
    <xf numFmtId="9" fontId="5" fillId="0" borderId="21" xfId="2" applyFont="1" applyBorder="1" applyAlignment="1">
      <alignment horizontal="center"/>
    </xf>
    <xf numFmtId="9" fontId="5" fillId="0" borderId="22" xfId="2" applyFont="1" applyBorder="1" applyAlignment="1">
      <alignment horizontal="center"/>
    </xf>
    <xf numFmtId="9" fontId="5" fillId="2" borderId="5" xfId="2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 wrapText="1"/>
    </xf>
    <xf numFmtId="9" fontId="0" fillId="0" borderId="23" xfId="2" applyFont="1" applyBorder="1"/>
    <xf numFmtId="9" fontId="0" fillId="0" borderId="0" xfId="2" applyFont="1" applyBorder="1"/>
    <xf numFmtId="164" fontId="31" fillId="0" borderId="7" xfId="1" applyNumberFormat="1" applyFont="1" applyFill="1" applyBorder="1" applyAlignment="1">
      <alignment vertical="top"/>
    </xf>
    <xf numFmtId="165" fontId="34" fillId="0" borderId="1" xfId="2" applyNumberFormat="1" applyFont="1" applyBorder="1" applyAlignment="1">
      <alignment horizontal="center"/>
    </xf>
    <xf numFmtId="9" fontId="39" fillId="0" borderId="1" xfId="2" applyNumberFormat="1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28" fillId="0" borderId="0" xfId="0" applyFont="1"/>
    <xf numFmtId="164" fontId="2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6" fillId="0" borderId="0" xfId="1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10" fillId="2" borderId="13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1"/>
  <sheetViews>
    <sheetView tabSelected="1" workbookViewId="0">
      <selection activeCell="H36" sqref="H36"/>
    </sheetView>
  </sheetViews>
  <sheetFormatPr defaultRowHeight="15.75"/>
  <cols>
    <col min="1" max="1" width="7.25" style="20" customWidth="1"/>
    <col min="2" max="2" width="57.25" style="20" customWidth="1"/>
    <col min="3" max="3" width="22.5" style="75" customWidth="1"/>
    <col min="4" max="4" width="21.25" style="75" customWidth="1"/>
    <col min="5" max="5" width="10.375" style="58" customWidth="1"/>
    <col min="6" max="6" width="19.25" style="20" customWidth="1"/>
    <col min="7" max="7" width="11.875" style="20" customWidth="1"/>
    <col min="8" max="8" width="14" style="20" customWidth="1"/>
    <col min="9" max="16384" width="9" style="20"/>
  </cols>
  <sheetData>
    <row r="1" spans="1:11" ht="16.5" customHeight="1">
      <c r="A1" s="217" t="s">
        <v>28</v>
      </c>
      <c r="B1" s="217"/>
      <c r="C1" s="218" t="s">
        <v>12</v>
      </c>
      <c r="D1" s="218"/>
      <c r="E1" s="218"/>
    </row>
    <row r="2" spans="1:11">
      <c r="A2" s="219" t="s">
        <v>29</v>
      </c>
      <c r="B2" s="219"/>
      <c r="C2" s="218" t="s">
        <v>13</v>
      </c>
      <c r="D2" s="218"/>
      <c r="E2" s="218"/>
    </row>
    <row r="3" spans="1:11" ht="19.5" customHeight="1">
      <c r="A3" s="80"/>
      <c r="B3" s="80"/>
    </row>
    <row r="4" spans="1:11" ht="20.25" customHeight="1"/>
    <row r="5" spans="1:11" ht="21.75" customHeight="1">
      <c r="A5" s="218" t="s">
        <v>14</v>
      </c>
      <c r="B5" s="218"/>
      <c r="C5" s="218"/>
      <c r="D5" s="218"/>
      <c r="E5" s="218"/>
      <c r="F5" s="218"/>
      <c r="G5" s="218"/>
      <c r="H5" s="218"/>
      <c r="I5" s="143"/>
      <c r="J5" s="143"/>
      <c r="K5" s="143"/>
    </row>
    <row r="6" spans="1:11" ht="21" customHeight="1">
      <c r="A6" s="218" t="s">
        <v>174</v>
      </c>
      <c r="B6" s="218"/>
      <c r="C6" s="218"/>
      <c r="D6" s="218"/>
      <c r="E6" s="218"/>
      <c r="F6" s="218"/>
      <c r="G6" s="218"/>
      <c r="H6" s="218"/>
    </row>
    <row r="7" spans="1:11" ht="15" customHeight="1">
      <c r="F7" s="60"/>
    </row>
    <row r="8" spans="1:11">
      <c r="G8" s="203" t="s">
        <v>121</v>
      </c>
    </row>
    <row r="9" spans="1:11" s="144" customFormat="1" ht="40.5" customHeight="1">
      <c r="A9" s="224" t="s">
        <v>0</v>
      </c>
      <c r="B9" s="224" t="s">
        <v>3</v>
      </c>
      <c r="C9" s="220" t="s">
        <v>118</v>
      </c>
      <c r="D9" s="227" t="s">
        <v>175</v>
      </c>
      <c r="E9" s="229" t="s">
        <v>178</v>
      </c>
      <c r="F9" s="220" t="s">
        <v>176</v>
      </c>
      <c r="G9" s="222" t="s">
        <v>119</v>
      </c>
      <c r="H9" s="223"/>
    </row>
    <row r="10" spans="1:11" s="144" customFormat="1" ht="50.25" customHeight="1">
      <c r="A10" s="225"/>
      <c r="B10" s="225"/>
      <c r="C10" s="226"/>
      <c r="D10" s="228"/>
      <c r="E10" s="230"/>
      <c r="F10" s="221"/>
      <c r="G10" s="78" t="s">
        <v>119</v>
      </c>
      <c r="H10" s="145" t="s">
        <v>120</v>
      </c>
    </row>
    <row r="11" spans="1:11" s="144" customFormat="1" ht="23.25" customHeight="1">
      <c r="A11" s="146" t="s">
        <v>1</v>
      </c>
      <c r="B11" s="146" t="s">
        <v>2</v>
      </c>
      <c r="C11" s="207">
        <v>1</v>
      </c>
      <c r="D11" s="207">
        <v>2</v>
      </c>
      <c r="E11" s="147" t="s">
        <v>4</v>
      </c>
      <c r="F11" s="207">
        <v>4</v>
      </c>
      <c r="G11" s="147" t="s">
        <v>177</v>
      </c>
      <c r="H11" s="147">
        <v>4</v>
      </c>
    </row>
    <row r="12" spans="1:11" s="144" customFormat="1" ht="20.25">
      <c r="A12" s="148" t="s">
        <v>1</v>
      </c>
      <c r="B12" s="149" t="s">
        <v>41</v>
      </c>
      <c r="C12" s="150">
        <f>C13+C18+C19</f>
        <v>3085977500000</v>
      </c>
      <c r="D12" s="150">
        <f>D13+D18+D19</f>
        <v>894353028468</v>
      </c>
      <c r="E12" s="151">
        <f>D12/C12*100%</f>
        <v>0.28981190837198262</v>
      </c>
      <c r="F12" s="150">
        <f>F13+F20</f>
        <v>5538627097021</v>
      </c>
      <c r="G12" s="151">
        <f>F12/C12*100%</f>
        <v>1.7947723523651744</v>
      </c>
      <c r="H12" s="151">
        <f>F12/3772435160926</f>
        <v>1.4681835103194887</v>
      </c>
    </row>
    <row r="13" spans="1:11" s="144" customFormat="1" ht="20.25">
      <c r="A13" s="152" t="s">
        <v>5</v>
      </c>
      <c r="B13" s="153" t="s">
        <v>34</v>
      </c>
      <c r="C13" s="154">
        <f>SUM(C15:C16)</f>
        <v>2022000000000</v>
      </c>
      <c r="D13" s="154">
        <f>SUM(D15:D16)</f>
        <v>513778528468</v>
      </c>
      <c r="E13" s="155">
        <f t="shared" ref="E13:E32" si="0">D13/C13*100%</f>
        <v>0.25409422772898121</v>
      </c>
      <c r="F13" s="154">
        <f>F15+F17+F18</f>
        <v>4399903366777</v>
      </c>
      <c r="G13" s="151">
        <f t="shared" ref="G13:G18" si="1">F13/C13*100%</f>
        <v>2.1760155127482692</v>
      </c>
      <c r="H13" s="155">
        <f>F13/2267835160926</f>
        <v>1.9401336757564145</v>
      </c>
    </row>
    <row r="14" spans="1:11" s="144" customFormat="1" ht="20.25">
      <c r="A14" s="156"/>
      <c r="B14" s="157" t="s">
        <v>46</v>
      </c>
      <c r="C14" s="158">
        <f>C15-270000000000</f>
        <v>1752000000000</v>
      </c>
      <c r="D14" s="158">
        <f>D13-54229664030</f>
        <v>459548864438</v>
      </c>
      <c r="E14" s="155">
        <f t="shared" si="0"/>
        <v>0.26229958015867577</v>
      </c>
      <c r="F14" s="158">
        <f>F13-276807700822</f>
        <v>4123095665955</v>
      </c>
      <c r="G14" s="151">
        <f t="shared" si="1"/>
        <v>2.3533651061386984</v>
      </c>
      <c r="H14" s="204">
        <f>F14/1750858609578</f>
        <v>2.3548992725053726</v>
      </c>
    </row>
    <row r="15" spans="1:11" s="144" customFormat="1" ht="20.25">
      <c r="A15" s="159">
        <v>1</v>
      </c>
      <c r="B15" s="160" t="s">
        <v>35</v>
      </c>
      <c r="C15" s="161">
        <v>2022000000000</v>
      </c>
      <c r="D15" s="162">
        <v>513778528468</v>
      </c>
      <c r="E15" s="155">
        <f t="shared" si="0"/>
        <v>0.25409422772898121</v>
      </c>
      <c r="F15" s="181">
        <v>1932668406933</v>
      </c>
      <c r="G15" s="151">
        <f t="shared" si="1"/>
        <v>0.95582018147032644</v>
      </c>
      <c r="H15" s="205">
        <v>0.85</v>
      </c>
    </row>
    <row r="16" spans="1:11" s="144" customFormat="1" ht="20.25">
      <c r="A16" s="164">
        <v>2</v>
      </c>
      <c r="B16" s="165" t="s">
        <v>17</v>
      </c>
      <c r="C16" s="162">
        <v>0</v>
      </c>
      <c r="D16" s="166"/>
      <c r="E16" s="155"/>
      <c r="F16" s="166"/>
      <c r="G16" s="151"/>
      <c r="H16" s="155"/>
    </row>
    <row r="17" spans="1:8" s="144" customFormat="1" ht="20.25">
      <c r="A17" s="167">
        <v>3</v>
      </c>
      <c r="B17" s="165" t="s">
        <v>27</v>
      </c>
      <c r="C17" s="162">
        <v>0</v>
      </c>
      <c r="D17" s="162"/>
      <c r="E17" s="155"/>
      <c r="F17" s="162">
        <v>1432136459844</v>
      </c>
      <c r="G17" s="151"/>
      <c r="H17" s="155"/>
    </row>
    <row r="18" spans="1:8" s="144" customFormat="1" ht="20.25">
      <c r="A18" s="167">
        <v>4</v>
      </c>
      <c r="B18" s="165" t="s">
        <v>22</v>
      </c>
      <c r="C18" s="162">
        <v>1035098500000</v>
      </c>
      <c r="D18" s="162">
        <v>380574500000</v>
      </c>
      <c r="E18" s="155">
        <v>0.21</v>
      </c>
      <c r="F18" s="162">
        <v>1035098500000</v>
      </c>
      <c r="G18" s="151">
        <f t="shared" si="1"/>
        <v>1</v>
      </c>
      <c r="H18" s="206">
        <f>F18/1504600000000</f>
        <v>0.68795593513226105</v>
      </c>
    </row>
    <row r="19" spans="1:8" s="144" customFormat="1">
      <c r="A19" s="167">
        <v>5</v>
      </c>
      <c r="B19" s="165" t="s">
        <v>37</v>
      </c>
      <c r="C19" s="162">
        <v>28879000000</v>
      </c>
      <c r="D19" s="162">
        <v>0</v>
      </c>
      <c r="E19" s="155"/>
      <c r="F19" s="162">
        <v>0</v>
      </c>
      <c r="G19" s="155"/>
      <c r="H19" s="155"/>
    </row>
    <row r="20" spans="1:8" s="144" customFormat="1">
      <c r="A20" s="168" t="s">
        <v>8</v>
      </c>
      <c r="B20" s="153" t="s">
        <v>38</v>
      </c>
      <c r="C20" s="162"/>
      <c r="D20" s="162"/>
      <c r="E20" s="155"/>
      <c r="F20" s="154">
        <v>1138723730244</v>
      </c>
      <c r="G20" s="155"/>
      <c r="H20" s="155"/>
    </row>
    <row r="21" spans="1:8" s="144" customFormat="1" ht="20.25">
      <c r="A21" s="148" t="s">
        <v>2</v>
      </c>
      <c r="B21" s="149" t="s">
        <v>39</v>
      </c>
      <c r="C21" s="169">
        <f>C22+C38</f>
        <v>3466481000000</v>
      </c>
      <c r="D21" s="169">
        <f>D22+D38+D39</f>
        <v>1324206027917</v>
      </c>
      <c r="E21" s="211">
        <f>D21/C21*100%</f>
        <v>0.38200296725036137</v>
      </c>
      <c r="F21" s="169">
        <f>F22+F38+F39</f>
        <v>3127587387532</v>
      </c>
      <c r="G21" s="212">
        <f>F21/C21*100%</f>
        <v>0.90223699121154854</v>
      </c>
      <c r="H21" s="170">
        <v>0.71</v>
      </c>
    </row>
    <row r="22" spans="1:8" s="144" customFormat="1">
      <c r="A22" s="171" t="s">
        <v>5</v>
      </c>
      <c r="B22" s="172" t="s">
        <v>18</v>
      </c>
      <c r="C22" s="173">
        <f>C23+C30+C33+C36+C37</f>
        <v>3466481000000</v>
      </c>
      <c r="D22" s="173">
        <f>D23+D30+D37</f>
        <v>1275279526813</v>
      </c>
      <c r="E22" s="174">
        <f>D22/C22*100%</f>
        <v>0.3678887975480033</v>
      </c>
      <c r="F22" s="173">
        <f>F23+F30+F37</f>
        <v>2932804241104</v>
      </c>
      <c r="G22" s="212">
        <f t="shared" ref="G22:G37" si="2">F22/C22*100%</f>
        <v>0.84604653569542143</v>
      </c>
      <c r="H22" s="163">
        <v>0.82</v>
      </c>
    </row>
    <row r="23" spans="1:8" s="144" customFormat="1">
      <c r="A23" s="148">
        <v>1</v>
      </c>
      <c r="B23" s="149" t="s">
        <v>6</v>
      </c>
      <c r="C23" s="175">
        <f>SUM(C25:C28)</f>
        <v>855441000000</v>
      </c>
      <c r="D23" s="175">
        <f>D24+D29</f>
        <v>520769327635</v>
      </c>
      <c r="E23" s="176">
        <f>D23/C23*100%</f>
        <v>0.60877293423509049</v>
      </c>
      <c r="F23" s="175">
        <f>F24+F29</f>
        <v>787007589111</v>
      </c>
      <c r="G23" s="212">
        <f t="shared" si="2"/>
        <v>0.92000218496775343</v>
      </c>
      <c r="H23" s="176">
        <v>0.71</v>
      </c>
    </row>
    <row r="24" spans="1:8" s="144" customFormat="1" ht="21" customHeight="1">
      <c r="A24" s="148" t="s">
        <v>15</v>
      </c>
      <c r="B24" s="149" t="s">
        <v>43</v>
      </c>
      <c r="C24" s="175">
        <f>SUM(C25:C28)</f>
        <v>855441000000</v>
      </c>
      <c r="D24" s="175">
        <f>SUM(D25:D28)</f>
        <v>515619000000</v>
      </c>
      <c r="E24" s="176">
        <f>D24/C24*100%</f>
        <v>0.60275226462140585</v>
      </c>
      <c r="F24" s="175">
        <f>SUM(F25:F28)</f>
        <v>777775000000</v>
      </c>
      <c r="G24" s="212">
        <f t="shared" si="2"/>
        <v>0.90920940193420707</v>
      </c>
      <c r="H24" s="176">
        <v>0.7</v>
      </c>
    </row>
    <row r="25" spans="1:8" s="144" customFormat="1">
      <c r="A25" s="159" t="s">
        <v>42</v>
      </c>
      <c r="B25" s="160" t="s">
        <v>30</v>
      </c>
      <c r="C25" s="76">
        <v>239257000000</v>
      </c>
      <c r="D25" s="161">
        <v>165325000000</v>
      </c>
      <c r="E25" s="176">
        <f t="shared" ref="E25:E28" si="3">D25/C25*100%</f>
        <v>0.69099336696522984</v>
      </c>
      <c r="F25" s="161">
        <v>208747000000</v>
      </c>
      <c r="G25" s="212">
        <f t="shared" si="2"/>
        <v>0.87248022001446146</v>
      </c>
      <c r="H25" s="177">
        <v>1.4</v>
      </c>
    </row>
    <row r="26" spans="1:8" s="144" customFormat="1">
      <c r="A26" s="164" t="s">
        <v>42</v>
      </c>
      <c r="B26" s="178" t="s">
        <v>31</v>
      </c>
      <c r="C26" s="76">
        <v>284554000000</v>
      </c>
      <c r="D26" s="161">
        <v>179106000000</v>
      </c>
      <c r="E26" s="176">
        <f t="shared" si="3"/>
        <v>0.62942710346718023</v>
      </c>
      <c r="F26" s="161">
        <v>246364000000</v>
      </c>
      <c r="G26" s="212">
        <f t="shared" si="2"/>
        <v>0.86578997308068062</v>
      </c>
      <c r="H26" s="179">
        <v>0.43</v>
      </c>
    </row>
    <row r="27" spans="1:8" s="144" customFormat="1">
      <c r="A27" s="164" t="s">
        <v>42</v>
      </c>
      <c r="B27" s="178" t="s">
        <v>32</v>
      </c>
      <c r="C27" s="76">
        <v>93943000000</v>
      </c>
      <c r="D27" s="161">
        <f>73865000000</f>
        <v>73865000000</v>
      </c>
      <c r="E27" s="176">
        <f t="shared" si="3"/>
        <v>0.78627465590836998</v>
      </c>
      <c r="F27" s="161">
        <v>93613000000</v>
      </c>
      <c r="G27" s="212">
        <f t="shared" si="2"/>
        <v>0.9964872316191733</v>
      </c>
      <c r="H27" s="179">
        <v>0.71</v>
      </c>
    </row>
    <row r="28" spans="1:8" s="144" customFormat="1">
      <c r="A28" s="180" t="s">
        <v>42</v>
      </c>
      <c r="B28" s="178" t="s">
        <v>163</v>
      </c>
      <c r="C28" s="76">
        <v>237687000000</v>
      </c>
      <c r="D28" s="162">
        <v>97323000000</v>
      </c>
      <c r="E28" s="176">
        <f t="shared" si="3"/>
        <v>0.40945865781468904</v>
      </c>
      <c r="F28" s="162">
        <v>229051000000</v>
      </c>
      <c r="G28" s="212">
        <f t="shared" si="2"/>
        <v>0.96366650258533282</v>
      </c>
      <c r="H28" s="155">
        <v>0.92</v>
      </c>
    </row>
    <row r="29" spans="1:8" s="144" customFormat="1" ht="21" customHeight="1">
      <c r="A29" s="148" t="s">
        <v>16</v>
      </c>
      <c r="B29" s="149" t="s">
        <v>44</v>
      </c>
      <c r="C29" s="181">
        <v>0</v>
      </c>
      <c r="D29" s="175">
        <v>5150327635</v>
      </c>
      <c r="E29" s="176"/>
      <c r="F29" s="175">
        <v>9232589111</v>
      </c>
      <c r="G29" s="212"/>
      <c r="H29" s="176"/>
    </row>
    <row r="30" spans="1:8" s="144" customFormat="1">
      <c r="A30" s="148">
        <v>2</v>
      </c>
      <c r="B30" s="149" t="s">
        <v>19</v>
      </c>
      <c r="C30" s="175">
        <f>C31+C32</f>
        <v>2486732000000</v>
      </c>
      <c r="D30" s="175">
        <f>D31+D32</f>
        <v>751050861173</v>
      </c>
      <c r="E30" s="170">
        <v>0.2</v>
      </c>
      <c r="F30" s="175">
        <f>F31+F32</f>
        <v>2081573751689</v>
      </c>
      <c r="G30" s="212">
        <f t="shared" si="2"/>
        <v>0.83707200924305469</v>
      </c>
      <c r="H30" s="170">
        <v>0.85</v>
      </c>
    </row>
    <row r="31" spans="1:8" s="144" customFormat="1">
      <c r="A31" s="182"/>
      <c r="B31" s="160" t="s">
        <v>20</v>
      </c>
      <c r="C31" s="161">
        <v>2209144000000</v>
      </c>
      <c r="D31" s="161">
        <v>678864800697</v>
      </c>
      <c r="E31" s="177">
        <v>0.19</v>
      </c>
      <c r="F31" s="161">
        <v>1833146667151</v>
      </c>
      <c r="G31" s="212">
        <f t="shared" si="2"/>
        <v>0.82979953644986471</v>
      </c>
      <c r="H31" s="177">
        <v>0.96</v>
      </c>
    </row>
    <row r="32" spans="1:8" s="144" customFormat="1">
      <c r="A32" s="168"/>
      <c r="B32" s="165" t="s">
        <v>26</v>
      </c>
      <c r="C32" s="162">
        <v>277588000000</v>
      </c>
      <c r="D32" s="161">
        <v>72186060476</v>
      </c>
      <c r="E32" s="155">
        <f t="shared" si="0"/>
        <v>0.26004748215340723</v>
      </c>
      <c r="F32" s="161">
        <v>248427084538</v>
      </c>
      <c r="G32" s="212">
        <f t="shared" si="2"/>
        <v>0.89494893344813176</v>
      </c>
      <c r="H32" s="155">
        <v>0.46</v>
      </c>
    </row>
    <row r="33" spans="1:8" s="144" customFormat="1">
      <c r="A33" s="148">
        <v>3</v>
      </c>
      <c r="B33" s="149" t="s">
        <v>7</v>
      </c>
      <c r="C33" s="175">
        <f>C34+C35</f>
        <v>59200000000</v>
      </c>
      <c r="D33" s="181">
        <v>0</v>
      </c>
      <c r="E33" s="181"/>
      <c r="F33" s="181">
        <v>0</v>
      </c>
      <c r="G33" s="212"/>
      <c r="H33" s="176"/>
    </row>
    <row r="34" spans="1:8" s="144" customFormat="1">
      <c r="A34" s="182"/>
      <c r="B34" s="183" t="s">
        <v>20</v>
      </c>
      <c r="C34" s="161">
        <v>53755000000</v>
      </c>
      <c r="D34" s="161"/>
      <c r="E34" s="155"/>
      <c r="F34" s="161"/>
      <c r="G34" s="212"/>
      <c r="H34" s="177"/>
    </row>
    <row r="35" spans="1:8" s="144" customFormat="1">
      <c r="A35" s="168"/>
      <c r="B35" s="165" t="s">
        <v>26</v>
      </c>
      <c r="C35" s="162">
        <v>5445000000</v>
      </c>
      <c r="D35" s="162"/>
      <c r="E35" s="155"/>
      <c r="F35" s="162"/>
      <c r="G35" s="212"/>
      <c r="H35" s="155"/>
    </row>
    <row r="36" spans="1:8" s="144" customFormat="1">
      <c r="A36" s="148">
        <v>4</v>
      </c>
      <c r="B36" s="149" t="s">
        <v>33</v>
      </c>
      <c r="C36" s="175">
        <v>883000000</v>
      </c>
      <c r="D36" s="181"/>
      <c r="E36" s="176"/>
      <c r="F36" s="181"/>
      <c r="G36" s="212"/>
      <c r="H36" s="176"/>
    </row>
    <row r="37" spans="1:8" s="144" customFormat="1">
      <c r="A37" s="148">
        <v>5</v>
      </c>
      <c r="B37" s="149" t="s">
        <v>165</v>
      </c>
      <c r="C37" s="175">
        <v>64225000000</v>
      </c>
      <c r="D37" s="181">
        <v>3459338005</v>
      </c>
      <c r="E37" s="155"/>
      <c r="F37" s="181">
        <v>64222900304</v>
      </c>
      <c r="G37" s="212">
        <f t="shared" si="2"/>
        <v>0.99996730718567539</v>
      </c>
      <c r="H37" s="176"/>
    </row>
    <row r="38" spans="1:8" s="144" customFormat="1">
      <c r="A38" s="184" t="s">
        <v>8</v>
      </c>
      <c r="B38" s="149" t="s">
        <v>48</v>
      </c>
      <c r="C38" s="175">
        <v>0</v>
      </c>
      <c r="D38" s="181">
        <v>46774896363</v>
      </c>
      <c r="E38" s="213"/>
      <c r="F38" s="181">
        <v>106242717983</v>
      </c>
      <c r="G38" s="213"/>
      <c r="H38" s="176"/>
    </row>
    <row r="39" spans="1:8" s="144" customFormat="1">
      <c r="A39" s="184" t="s">
        <v>9</v>
      </c>
      <c r="B39" s="185" t="s">
        <v>47</v>
      </c>
      <c r="C39" s="186"/>
      <c r="D39" s="181">
        <v>2151604741</v>
      </c>
      <c r="E39" s="214"/>
      <c r="F39" s="181">
        <v>88540428445</v>
      </c>
      <c r="G39" s="214"/>
      <c r="H39" s="176"/>
    </row>
    <row r="40" spans="1:8" ht="18.75" hidden="1" customHeight="1">
      <c r="A40" s="184" t="s">
        <v>11</v>
      </c>
      <c r="B40" s="187" t="s">
        <v>40</v>
      </c>
      <c r="C40" s="186"/>
      <c r="D40" s="181"/>
      <c r="E40" s="214"/>
      <c r="F40" s="215"/>
      <c r="G40" s="215"/>
      <c r="H40" s="215"/>
    </row>
    <row r="41" spans="1:8">
      <c r="E41" s="3"/>
      <c r="F41" s="216"/>
      <c r="G41" s="215"/>
      <c r="H41" s="215"/>
    </row>
  </sheetData>
  <mergeCells count="13">
    <mergeCell ref="A6:H6"/>
    <mergeCell ref="F9:F10"/>
    <mergeCell ref="G9:H9"/>
    <mergeCell ref="A9:A10"/>
    <mergeCell ref="B9:B10"/>
    <mergeCell ref="C9:C10"/>
    <mergeCell ref="D9:D10"/>
    <mergeCell ref="E9:E10"/>
    <mergeCell ref="A1:B1"/>
    <mergeCell ref="C1:E1"/>
    <mergeCell ref="A2:B2"/>
    <mergeCell ref="C2:E2"/>
    <mergeCell ref="A5:H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99"/>
  <sheetViews>
    <sheetView topLeftCell="A10" workbookViewId="0">
      <selection activeCell="I54" sqref="I54"/>
    </sheetView>
  </sheetViews>
  <sheetFormatPr defaultRowHeight="15.75"/>
  <cols>
    <col min="1" max="1" width="5.875" style="2" customWidth="1"/>
    <col min="2" max="2" width="40.25" style="2" customWidth="1"/>
    <col min="3" max="3" width="16.875" style="3" customWidth="1"/>
    <col min="4" max="4" width="17.125" style="3" customWidth="1"/>
    <col min="5" max="5" width="17.875" style="3" customWidth="1"/>
    <col min="6" max="6" width="17.25" style="3" customWidth="1"/>
    <col min="7" max="7" width="7.875" style="3" customWidth="1"/>
    <col min="8" max="8" width="7.375" style="3" customWidth="1"/>
    <col min="9" max="9" width="17.125" style="3" customWidth="1"/>
    <col min="10" max="10" width="17.75" style="3" customWidth="1"/>
    <col min="11" max="11" width="20.375" style="3" hidden="1" customWidth="1"/>
    <col min="12" max="12" width="8.375" style="2" customWidth="1"/>
    <col min="13" max="13" width="9.25" style="2" customWidth="1"/>
    <col min="14" max="14" width="7.375" style="2" customWidth="1"/>
    <col min="15" max="16384" width="9" style="2"/>
  </cols>
  <sheetData>
    <row r="1" spans="1:14">
      <c r="A1" s="84" t="s">
        <v>28</v>
      </c>
      <c r="B1" s="84">
        <v>3</v>
      </c>
      <c r="C1" s="231" t="s">
        <v>12</v>
      </c>
      <c r="D1" s="231"/>
      <c r="E1" s="231"/>
      <c r="F1" s="231"/>
      <c r="G1" s="231"/>
      <c r="H1" s="231"/>
      <c r="I1" s="231"/>
      <c r="J1" s="231"/>
      <c r="K1" s="231"/>
      <c r="L1" s="231"/>
    </row>
    <row r="2" spans="1:14">
      <c r="A2" s="85" t="s">
        <v>29</v>
      </c>
      <c r="B2" s="85"/>
      <c r="C2" s="231" t="s">
        <v>49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1:14">
      <c r="A3" s="85"/>
      <c r="B3" s="85"/>
    </row>
    <row r="4" spans="1:14" ht="27" customHeight="1">
      <c r="A4" s="231" t="s">
        <v>169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4" ht="22.5" customHeight="1">
      <c r="L5" s="64"/>
    </row>
    <row r="6" spans="1:14" ht="48" customHeight="1">
      <c r="A6" s="224" t="s">
        <v>0</v>
      </c>
      <c r="B6" s="224" t="s">
        <v>3</v>
      </c>
      <c r="C6" s="233" t="s">
        <v>118</v>
      </c>
      <c r="D6" s="234"/>
      <c r="E6" s="235" t="s">
        <v>157</v>
      </c>
      <c r="F6" s="236"/>
      <c r="G6" s="236"/>
      <c r="H6" s="236"/>
      <c r="I6" s="236"/>
      <c r="J6" s="237"/>
      <c r="K6" s="81" t="s">
        <v>156</v>
      </c>
      <c r="L6" s="238" t="s">
        <v>122</v>
      </c>
      <c r="M6" s="239"/>
      <c r="N6" s="240"/>
    </row>
    <row r="7" spans="1:14" ht="126" customHeight="1">
      <c r="A7" s="232"/>
      <c r="B7" s="232"/>
      <c r="C7" s="79" t="s">
        <v>50</v>
      </c>
      <c r="D7" s="79" t="s">
        <v>51</v>
      </c>
      <c r="E7" s="79" t="s">
        <v>170</v>
      </c>
      <c r="F7" s="79" t="s">
        <v>171</v>
      </c>
      <c r="G7" s="78" t="s">
        <v>123</v>
      </c>
      <c r="H7" s="78" t="s">
        <v>124</v>
      </c>
      <c r="I7" s="79" t="s">
        <v>172</v>
      </c>
      <c r="J7" s="79" t="s">
        <v>173</v>
      </c>
      <c r="K7" s="79" t="s">
        <v>50</v>
      </c>
      <c r="L7" s="78" t="s">
        <v>123</v>
      </c>
      <c r="M7" s="78" t="s">
        <v>124</v>
      </c>
      <c r="N7" s="145" t="s">
        <v>162</v>
      </c>
    </row>
    <row r="8" spans="1:14">
      <c r="A8" s="78" t="s">
        <v>1</v>
      </c>
      <c r="B8" s="78" t="s">
        <v>2</v>
      </c>
      <c r="C8" s="79">
        <v>1</v>
      </c>
      <c r="D8" s="79">
        <v>2</v>
      </c>
      <c r="E8" s="79">
        <v>3</v>
      </c>
      <c r="F8" s="79">
        <v>4</v>
      </c>
      <c r="G8" s="79" t="s">
        <v>154</v>
      </c>
      <c r="H8" s="79" t="s">
        <v>155</v>
      </c>
      <c r="I8" s="86">
        <v>7</v>
      </c>
      <c r="J8" s="86">
        <v>8</v>
      </c>
      <c r="K8" s="79">
        <v>4</v>
      </c>
      <c r="L8" s="78" t="s">
        <v>158</v>
      </c>
      <c r="M8" s="78" t="s">
        <v>159</v>
      </c>
      <c r="N8" s="78">
        <v>11</v>
      </c>
    </row>
    <row r="9" spans="1:14" ht="35.25" hidden="1" customHeight="1">
      <c r="A9" s="78"/>
      <c r="B9" s="78" t="s">
        <v>125</v>
      </c>
      <c r="C9" s="82">
        <f>C11+C39+C40+C46+C47+C48+C49</f>
        <v>4262098500000</v>
      </c>
      <c r="D9" s="82">
        <f t="shared" ref="D9:K9" si="0">D11+D39+D40+D46+D47+D48+D49</f>
        <v>3085977500000</v>
      </c>
      <c r="E9" s="62">
        <f t="shared" si="0"/>
        <v>1240718536457</v>
      </c>
      <c r="F9" s="62"/>
      <c r="G9" s="62"/>
      <c r="H9" s="62"/>
      <c r="I9" s="62">
        <f>I11+I39+I40+I46+I47+I48+I49</f>
        <v>6844980517130</v>
      </c>
      <c r="J9" s="62">
        <f t="shared" si="0"/>
        <v>5538632097021</v>
      </c>
      <c r="K9" s="62">
        <f t="shared" si="0"/>
        <v>2458975914184</v>
      </c>
      <c r="L9" s="6">
        <f>(I9/C9)*100%</f>
        <v>1.6060118078289369</v>
      </c>
      <c r="M9" s="6">
        <f>(J9/D9)*100%</f>
        <v>1.7947739725973375</v>
      </c>
      <c r="N9" s="6"/>
    </row>
    <row r="10" spans="1:14" ht="48" customHeight="1">
      <c r="A10" s="78" t="s">
        <v>1</v>
      </c>
      <c r="B10" s="78" t="s">
        <v>180</v>
      </c>
      <c r="C10" s="62">
        <f>C11+C39+C40</f>
        <v>4262098500000</v>
      </c>
      <c r="D10" s="62">
        <f>D11+D39+D40+D49</f>
        <v>3085977500000</v>
      </c>
      <c r="E10" s="62">
        <f t="shared" ref="E10:K10" si="1">E11+E39+E40</f>
        <v>1240718536457</v>
      </c>
      <c r="F10" s="62">
        <f t="shared" si="1"/>
        <v>894353028467.80005</v>
      </c>
      <c r="G10" s="83">
        <f>E10/C10*100%</f>
        <v>0.29110508273260227</v>
      </c>
      <c r="H10" s="83">
        <f>F10/D10*100%</f>
        <v>0.28981190837191784</v>
      </c>
      <c r="I10" s="62">
        <f t="shared" si="1"/>
        <v>4274115327042</v>
      </c>
      <c r="J10" s="62">
        <f t="shared" si="1"/>
        <v>2967766906933</v>
      </c>
      <c r="K10" s="62">
        <f t="shared" si="1"/>
        <v>2458975914184</v>
      </c>
      <c r="L10" s="6">
        <f t="shared" ref="L10:L16" si="2">(I10/C10)*100%</f>
        <v>1.0028194625351807</v>
      </c>
      <c r="M10" s="6">
        <f>J10/D10*100%</f>
        <v>0.96169427901953275</v>
      </c>
      <c r="N10" s="6">
        <f>I10/5210840308788</f>
        <v>0.82023533130227999</v>
      </c>
    </row>
    <row r="11" spans="1:14" ht="27.75" customHeight="1">
      <c r="A11" s="78" t="s">
        <v>5</v>
      </c>
      <c r="B11" s="7" t="s">
        <v>126</v>
      </c>
      <c r="C11" s="79">
        <f t="shared" ref="C11:K11" si="3">C13+C20+C22+C24+C25+C26+C28+C30+C34+C36+C31+C33+C38</f>
        <v>3227000000000</v>
      </c>
      <c r="D11" s="79">
        <f t="shared" si="3"/>
        <v>2022000000000</v>
      </c>
      <c r="E11" s="79">
        <f t="shared" si="3"/>
        <v>860144036457</v>
      </c>
      <c r="F11" s="79">
        <f t="shared" si="3"/>
        <v>513778528467.79999</v>
      </c>
      <c r="G11" s="83">
        <f t="shared" ref="G11:G41" si="4">E11/C11*100%</f>
        <v>0.26654602927083981</v>
      </c>
      <c r="H11" s="83">
        <f t="shared" ref="H11:H41" si="5">F11/D11*100%</f>
        <v>0.25409422772888229</v>
      </c>
      <c r="I11" s="79">
        <f>I13+I20+I22+I24+I25+I26+I28+I30+I34+I36+I31+I33+I38</f>
        <v>3239016827042</v>
      </c>
      <c r="J11" s="79">
        <f t="shared" si="3"/>
        <v>1932668406933</v>
      </c>
      <c r="K11" s="79">
        <f t="shared" si="3"/>
        <v>2019044914184</v>
      </c>
      <c r="L11" s="6">
        <f t="shared" si="2"/>
        <v>1.0037238385627518</v>
      </c>
      <c r="M11" s="6">
        <f t="shared" ref="M11:M16" si="6">(J11/D11)*100%</f>
        <v>0.95582018147032644</v>
      </c>
      <c r="N11" s="6">
        <f>I11/3706240308788</f>
        <v>0.87393599906672281</v>
      </c>
    </row>
    <row r="12" spans="1:14" ht="16.5" customHeight="1">
      <c r="A12" s="78"/>
      <c r="B12" s="189" t="s">
        <v>164</v>
      </c>
      <c r="C12" s="79">
        <f>C11-C28</f>
        <v>2777000000000</v>
      </c>
      <c r="D12" s="79">
        <f t="shared" ref="D12:F12" si="7">D11-D28</f>
        <v>1752000000000</v>
      </c>
      <c r="E12" s="79">
        <f t="shared" si="7"/>
        <v>769761263074</v>
      </c>
      <c r="F12" s="79">
        <f t="shared" si="7"/>
        <v>459548864438</v>
      </c>
      <c r="G12" s="83">
        <f t="shared" si="4"/>
        <v>0.27719166837378467</v>
      </c>
      <c r="H12" s="83">
        <f t="shared" si="5"/>
        <v>0.26229958015867577</v>
      </c>
      <c r="I12" s="79">
        <f>I11-I28</f>
        <v>2777670659023</v>
      </c>
      <c r="J12" s="79">
        <f>J11-J28</f>
        <v>1655860706111</v>
      </c>
      <c r="K12" s="79"/>
      <c r="L12" s="6">
        <f t="shared" si="2"/>
        <v>1.0002415048696436</v>
      </c>
      <c r="M12" s="6">
        <f t="shared" si="6"/>
        <v>0.9451259738076484</v>
      </c>
      <c r="N12" s="6">
        <f>I12/2844612723247</f>
        <v>0.97646707276638045</v>
      </c>
    </row>
    <row r="13" spans="1:14">
      <c r="A13" s="78">
        <v>1</v>
      </c>
      <c r="B13" s="7" t="s">
        <v>52</v>
      </c>
      <c r="C13" s="79">
        <f>SUM(C14:C18)</f>
        <v>1480000000000</v>
      </c>
      <c r="D13" s="79">
        <f t="shared" ref="D13:K13" si="8">SUM(D14:D18)</f>
        <v>753000000000</v>
      </c>
      <c r="E13" s="79">
        <f t="shared" si="8"/>
        <v>511450518367</v>
      </c>
      <c r="F13" s="79">
        <f t="shared" si="8"/>
        <v>258039948901.5</v>
      </c>
      <c r="G13" s="83">
        <f t="shared" si="4"/>
        <v>0.34557467457229729</v>
      </c>
      <c r="H13" s="83">
        <f t="shared" si="5"/>
        <v>0.342682535061753</v>
      </c>
      <c r="I13" s="79">
        <f>SUM(I14:I19)</f>
        <v>1719977325658</v>
      </c>
      <c r="J13" s="79">
        <f t="shared" si="8"/>
        <v>860988516733</v>
      </c>
      <c r="K13" s="79">
        <f t="shared" si="8"/>
        <v>693467056849</v>
      </c>
      <c r="L13" s="6">
        <f t="shared" si="2"/>
        <v>1.1621468416608107</v>
      </c>
      <c r="M13" s="6">
        <f t="shared" si="6"/>
        <v>1.1434110447981407</v>
      </c>
      <c r="N13" s="6">
        <f>I13/1374452651685</f>
        <v>1.2513907434711604</v>
      </c>
    </row>
    <row r="14" spans="1:14">
      <c r="A14" s="4"/>
      <c r="B14" s="10" t="s">
        <v>127</v>
      </c>
      <c r="C14" s="5">
        <v>1151800000000</v>
      </c>
      <c r="D14" s="5">
        <f>C14*50%</f>
        <v>575900000000</v>
      </c>
      <c r="E14" s="5">
        <f>I14-887880877199</f>
        <v>416852611650</v>
      </c>
      <c r="F14" s="5">
        <f>E14*50%</f>
        <v>208426305825</v>
      </c>
      <c r="G14" s="83">
        <f t="shared" si="4"/>
        <v>0.36191405769230767</v>
      </c>
      <c r="H14" s="83">
        <f t="shared" si="5"/>
        <v>0.36191405769230767</v>
      </c>
      <c r="I14" s="5">
        <v>1304733488849</v>
      </c>
      <c r="J14" s="5">
        <v>652366749569</v>
      </c>
      <c r="K14" s="5">
        <v>526751325089</v>
      </c>
      <c r="L14" s="6">
        <f t="shared" si="2"/>
        <v>1.1327778163300921</v>
      </c>
      <c r="M14" s="6">
        <f t="shared" si="6"/>
        <v>1.1327778252630665</v>
      </c>
      <c r="N14" s="6">
        <f>I14/1052387285006</f>
        <v>1.2397845426663068</v>
      </c>
    </row>
    <row r="15" spans="1:14">
      <c r="A15" s="4"/>
      <c r="B15" s="10" t="s">
        <v>128</v>
      </c>
      <c r="C15" s="5">
        <v>300000000000</v>
      </c>
      <c r="D15" s="5">
        <f t="shared" ref="D15:D16" si="9">C15*50%</f>
        <v>150000000000</v>
      </c>
      <c r="E15" s="5">
        <f>I15-286887000000</f>
        <v>88923611484</v>
      </c>
      <c r="F15" s="5">
        <f t="shared" ref="F15:F16" si="10">E15*50%</f>
        <v>44461805742</v>
      </c>
      <c r="G15" s="83">
        <f t="shared" si="4"/>
        <v>0.29641203828000001</v>
      </c>
      <c r="H15" s="83">
        <f t="shared" si="5"/>
        <v>0.29641203828000001</v>
      </c>
      <c r="I15" s="5">
        <v>375810611484</v>
      </c>
      <c r="J15" s="5">
        <v>187905307197</v>
      </c>
      <c r="K15" s="5">
        <v>149476446082</v>
      </c>
      <c r="L15" s="6">
        <f t="shared" si="2"/>
        <v>1.25270203828</v>
      </c>
      <c r="M15" s="6">
        <f t="shared" si="6"/>
        <v>1.25270204798</v>
      </c>
      <c r="N15" s="6">
        <f>I15/294111018274</f>
        <v>1.2777848775930147</v>
      </c>
    </row>
    <row r="16" spans="1:14">
      <c r="A16" s="4"/>
      <c r="B16" s="10" t="s">
        <v>129</v>
      </c>
      <c r="C16" s="5">
        <v>2200000000</v>
      </c>
      <c r="D16" s="5">
        <f t="shared" si="9"/>
        <v>1100000000</v>
      </c>
      <c r="E16" s="5">
        <f>I16-1648179496</f>
        <v>1044915797</v>
      </c>
      <c r="F16" s="5">
        <f t="shared" si="10"/>
        <v>522457898.5</v>
      </c>
      <c r="G16" s="83">
        <f t="shared" si="4"/>
        <v>0.47496172590909091</v>
      </c>
      <c r="H16" s="83">
        <f t="shared" si="5"/>
        <v>0.47496172590909091</v>
      </c>
      <c r="I16" s="5">
        <v>2693095293</v>
      </c>
      <c r="J16" s="5">
        <v>1304329935</v>
      </c>
      <c r="K16" s="5">
        <v>966063238</v>
      </c>
      <c r="L16" s="6">
        <f t="shared" si="2"/>
        <v>1.224134224090909</v>
      </c>
      <c r="M16" s="6">
        <f t="shared" si="6"/>
        <v>1.1857544863636365</v>
      </c>
      <c r="N16" s="6">
        <f>I16/2634463151</f>
        <v>1.0222558216377953</v>
      </c>
    </row>
    <row r="17" spans="1:14" ht="31.5">
      <c r="A17" s="4"/>
      <c r="B17" s="9" t="s">
        <v>53</v>
      </c>
      <c r="C17" s="5"/>
      <c r="D17" s="5"/>
      <c r="E17" s="5"/>
      <c r="F17" s="5"/>
      <c r="G17" s="83"/>
      <c r="H17" s="83"/>
      <c r="I17" s="5"/>
      <c r="J17" s="5"/>
      <c r="K17" s="5"/>
      <c r="L17" s="6"/>
      <c r="M17" s="6"/>
      <c r="N17" s="6"/>
    </row>
    <row r="18" spans="1:14">
      <c r="A18" s="4"/>
      <c r="B18" s="8" t="s">
        <v>54</v>
      </c>
      <c r="C18" s="5">
        <v>26000000000</v>
      </c>
      <c r="D18" s="5">
        <f>C18</f>
        <v>26000000000</v>
      </c>
      <c r="E18" s="5">
        <f>I18-14782750596</f>
        <v>4629379436</v>
      </c>
      <c r="F18" s="5">
        <f>E18</f>
        <v>4629379436</v>
      </c>
      <c r="G18" s="83">
        <f t="shared" si="4"/>
        <v>0.17805305523076922</v>
      </c>
      <c r="H18" s="83">
        <f t="shared" si="5"/>
        <v>0.17805305523076922</v>
      </c>
      <c r="I18" s="5">
        <v>19412130032</v>
      </c>
      <c r="J18" s="5">
        <v>19412130032</v>
      </c>
      <c r="K18" s="5">
        <v>16273222440</v>
      </c>
      <c r="L18" s="6">
        <f>(I18/C18)*100%</f>
        <v>0.74662038584615387</v>
      </c>
      <c r="M18" s="6">
        <f>(J18/D18)*100%</f>
        <v>0.74662038584615387</v>
      </c>
      <c r="N18" s="6">
        <f>I18/25319885254</f>
        <v>0.76667527665565938</v>
      </c>
    </row>
    <row r="19" spans="1:14">
      <c r="A19" s="4"/>
      <c r="B19" s="10" t="s">
        <v>179</v>
      </c>
      <c r="C19" s="5"/>
      <c r="D19" s="5"/>
      <c r="E19" s="5">
        <v>0</v>
      </c>
      <c r="F19" s="5">
        <v>0</v>
      </c>
      <c r="G19" s="83"/>
      <c r="H19" s="83"/>
      <c r="I19" s="5">
        <v>17328000000</v>
      </c>
      <c r="J19" s="5">
        <v>0</v>
      </c>
      <c r="K19" s="5"/>
      <c r="L19" s="6"/>
      <c r="M19" s="6"/>
      <c r="N19" s="6"/>
    </row>
    <row r="20" spans="1:14" ht="20.25" customHeight="1">
      <c r="A20" s="78">
        <v>2</v>
      </c>
      <c r="B20" s="7" t="s">
        <v>130</v>
      </c>
      <c r="C20" s="79">
        <v>560000000000</v>
      </c>
      <c r="D20" s="79">
        <f>C20</f>
        <v>560000000000</v>
      </c>
      <c r="E20" s="79">
        <f>I20-240963922127</f>
        <v>95597140638</v>
      </c>
      <c r="F20" s="79">
        <f>E20</f>
        <v>95597140638</v>
      </c>
      <c r="G20" s="83">
        <f t="shared" si="4"/>
        <v>0.17070917971071428</v>
      </c>
      <c r="H20" s="83">
        <f t="shared" si="5"/>
        <v>0.17070917971071428</v>
      </c>
      <c r="I20" s="79">
        <v>336561062765</v>
      </c>
      <c r="J20" s="79">
        <v>336561062765</v>
      </c>
      <c r="K20" s="79">
        <v>327161295852</v>
      </c>
      <c r="L20" s="6">
        <f>(I20/C20)*100%</f>
        <v>0.60100189779464286</v>
      </c>
      <c r="M20" s="6">
        <f>(J20/D20)*100%</f>
        <v>0.60100189779464286</v>
      </c>
      <c r="N20" s="6">
        <f>I20/606499910050</f>
        <v>0.55492351637324044</v>
      </c>
    </row>
    <row r="21" spans="1:14" ht="21" customHeight="1">
      <c r="A21" s="78">
        <v>3</v>
      </c>
      <c r="B21" s="7" t="s">
        <v>55</v>
      </c>
      <c r="C21" s="79">
        <v>0</v>
      </c>
      <c r="D21" s="5"/>
      <c r="E21" s="5"/>
      <c r="F21" s="5"/>
      <c r="G21" s="83"/>
      <c r="H21" s="83"/>
      <c r="I21" s="5"/>
      <c r="J21" s="5"/>
      <c r="K21" s="5"/>
      <c r="L21" s="6"/>
      <c r="M21" s="6"/>
      <c r="N21" s="6"/>
    </row>
    <row r="22" spans="1:14" ht="44.25" customHeight="1">
      <c r="A22" s="78">
        <v>4</v>
      </c>
      <c r="B22" s="7" t="s">
        <v>131</v>
      </c>
      <c r="C22" s="79">
        <v>57000000000</v>
      </c>
      <c r="D22" s="5">
        <f>C22</f>
        <v>57000000000</v>
      </c>
      <c r="E22" s="5">
        <f>I22-95698409858</f>
        <v>20347445164</v>
      </c>
      <c r="F22" s="5">
        <f>E22</f>
        <v>20347445164</v>
      </c>
      <c r="G22" s="83">
        <f t="shared" si="4"/>
        <v>0.35697272217543857</v>
      </c>
      <c r="H22" s="83">
        <f t="shared" si="5"/>
        <v>0.35697272217543857</v>
      </c>
      <c r="I22" s="5">
        <v>116045855022</v>
      </c>
      <c r="J22" s="5">
        <v>116045855022</v>
      </c>
      <c r="K22" s="5">
        <v>68841697208</v>
      </c>
      <c r="L22" s="6">
        <f>(I22/C22)*100%</f>
        <v>2.0358921933684209</v>
      </c>
      <c r="M22" s="6">
        <f>(J22/D22)*100%</f>
        <v>2.0358921933684209</v>
      </c>
      <c r="N22" s="6">
        <f>I22/95096367308</f>
        <v>1.2202974551714303</v>
      </c>
    </row>
    <row r="23" spans="1:14" ht="20.25" customHeight="1">
      <c r="A23" s="78">
        <v>5</v>
      </c>
      <c r="B23" s="7" t="s">
        <v>56</v>
      </c>
      <c r="C23" s="79">
        <v>0</v>
      </c>
      <c r="D23" s="5"/>
      <c r="E23" s="5"/>
      <c r="F23" s="5"/>
      <c r="G23" s="83"/>
      <c r="H23" s="83"/>
      <c r="I23" s="5"/>
      <c r="J23" s="5"/>
      <c r="K23" s="5"/>
      <c r="L23" s="6"/>
      <c r="M23" s="6"/>
      <c r="N23" s="6"/>
    </row>
    <row r="24" spans="1:14" ht="21" customHeight="1">
      <c r="A24" s="78">
        <v>6</v>
      </c>
      <c r="B24" s="7" t="s">
        <v>132</v>
      </c>
      <c r="C24" s="79">
        <v>500000000000</v>
      </c>
      <c r="D24" s="79">
        <f>C24*50%</f>
        <v>250000000000</v>
      </c>
      <c r="E24" s="79">
        <f>I24-284332290701</f>
        <v>84866695358</v>
      </c>
      <c r="F24" s="79">
        <f>E24*50%</f>
        <v>42433347679</v>
      </c>
      <c r="G24" s="83">
        <f t="shared" si="4"/>
        <v>0.16973339071599999</v>
      </c>
      <c r="H24" s="83">
        <f t="shared" si="5"/>
        <v>0.16973339071599999</v>
      </c>
      <c r="I24" s="79">
        <v>369198986059</v>
      </c>
      <c r="J24" s="79">
        <v>185572630532</v>
      </c>
      <c r="K24" s="79">
        <v>289849083090</v>
      </c>
      <c r="L24" s="6">
        <f t="shared" ref="L24:M30" si="11">(I24/C24)*100%</f>
        <v>0.73839797211799996</v>
      </c>
      <c r="M24" s="6">
        <f t="shared" si="11"/>
        <v>0.74229052212799995</v>
      </c>
      <c r="N24" s="6">
        <f>I24/498459234001</f>
        <v>0.74068040247852907</v>
      </c>
    </row>
    <row r="25" spans="1:14" ht="21" customHeight="1">
      <c r="A25" s="78">
        <v>7</v>
      </c>
      <c r="B25" s="7" t="s">
        <v>133</v>
      </c>
      <c r="C25" s="79">
        <v>14000000000</v>
      </c>
      <c r="D25" s="79">
        <f>C25*50%</f>
        <v>7000000000</v>
      </c>
      <c r="E25" s="79">
        <f>I25-10195809465</f>
        <v>3876980465</v>
      </c>
      <c r="F25" s="79">
        <f>E25*50%</f>
        <v>1938490232.5</v>
      </c>
      <c r="G25" s="83">
        <f t="shared" si="4"/>
        <v>0.27692717607142858</v>
      </c>
      <c r="H25" s="83">
        <f t="shared" si="5"/>
        <v>0.27692717607142858</v>
      </c>
      <c r="I25" s="79">
        <v>14072789930</v>
      </c>
      <c r="J25" s="79">
        <v>4221836983</v>
      </c>
      <c r="K25" s="79">
        <v>7503683807</v>
      </c>
      <c r="L25" s="6">
        <f t="shared" si="11"/>
        <v>1.0051992807142858</v>
      </c>
      <c r="M25" s="6">
        <f t="shared" si="11"/>
        <v>0.60311956899999997</v>
      </c>
      <c r="N25" s="6">
        <f>I25/11207217085</f>
        <v>1.2556899561475747</v>
      </c>
    </row>
    <row r="26" spans="1:14" ht="19.5" customHeight="1">
      <c r="A26" s="78">
        <v>8</v>
      </c>
      <c r="B26" s="7" t="s">
        <v>57</v>
      </c>
      <c r="C26" s="79">
        <v>67000000000</v>
      </c>
      <c r="D26" s="79">
        <f>D27</f>
        <v>56000000000</v>
      </c>
      <c r="E26" s="79">
        <f>I26-69911656237</f>
        <v>14095915510</v>
      </c>
      <c r="F26" s="79">
        <f>E27</f>
        <v>7048498767</v>
      </c>
      <c r="G26" s="83">
        <f t="shared" si="4"/>
        <v>0.21038679865671642</v>
      </c>
      <c r="H26" s="83">
        <f t="shared" si="5"/>
        <v>0.12586604941071428</v>
      </c>
      <c r="I26" s="79">
        <v>84007571747</v>
      </c>
      <c r="J26" s="79">
        <v>61559246166</v>
      </c>
      <c r="K26" s="79">
        <v>53518933731</v>
      </c>
      <c r="L26" s="6">
        <f t="shared" si="11"/>
        <v>1.2538443544328359</v>
      </c>
      <c r="M26" s="6">
        <f t="shared" si="11"/>
        <v>1.0992722529642858</v>
      </c>
      <c r="N26" s="6">
        <f>I26/86224397938</f>
        <v>0.97429003572058548</v>
      </c>
    </row>
    <row r="27" spans="1:14" ht="31.5">
      <c r="A27" s="4"/>
      <c r="B27" s="9" t="s">
        <v>58</v>
      </c>
      <c r="C27" s="5">
        <v>56000000000</v>
      </c>
      <c r="D27" s="5">
        <f>C27</f>
        <v>56000000000</v>
      </c>
      <c r="E27" s="5">
        <f>I27-54510747399</f>
        <v>7048498767</v>
      </c>
      <c r="F27" s="5">
        <f>E27</f>
        <v>7048498767</v>
      </c>
      <c r="G27" s="83">
        <f t="shared" si="4"/>
        <v>0.12586604941071428</v>
      </c>
      <c r="H27" s="83">
        <f t="shared" si="5"/>
        <v>0.12586604941071428</v>
      </c>
      <c r="I27" s="5">
        <v>61559246166</v>
      </c>
      <c r="J27" s="5">
        <v>61559246166</v>
      </c>
      <c r="K27" s="5">
        <v>47943877446</v>
      </c>
      <c r="L27" s="6">
        <f t="shared" si="11"/>
        <v>1.0992722529642858</v>
      </c>
      <c r="M27" s="6">
        <f t="shared" si="11"/>
        <v>1.0992722529642858</v>
      </c>
      <c r="N27" s="6">
        <f>I27/62102810667</f>
        <v>0.99124734460224939</v>
      </c>
    </row>
    <row r="28" spans="1:14" ht="25.5" customHeight="1">
      <c r="A28" s="78">
        <v>9</v>
      </c>
      <c r="B28" s="7" t="s">
        <v>134</v>
      </c>
      <c r="C28" s="79">
        <v>450000000000</v>
      </c>
      <c r="D28" s="79">
        <f>C28*60%</f>
        <v>270000000000</v>
      </c>
      <c r="E28" s="79">
        <f>I28-370963394636</f>
        <v>90382773383</v>
      </c>
      <c r="F28" s="79">
        <f>E28*60%</f>
        <v>54229664029.799995</v>
      </c>
      <c r="G28" s="83">
        <f t="shared" si="4"/>
        <v>0.20085060751777778</v>
      </c>
      <c r="H28" s="83">
        <f t="shared" si="5"/>
        <v>0.20085060751777775</v>
      </c>
      <c r="I28" s="79">
        <v>461346168019</v>
      </c>
      <c r="J28" s="79">
        <v>276807700822</v>
      </c>
      <c r="K28" s="79">
        <v>512406703882</v>
      </c>
      <c r="L28" s="6">
        <f t="shared" si="11"/>
        <v>1.0252137067088889</v>
      </c>
      <c r="M28" s="6">
        <f t="shared" si="11"/>
        <v>1.0252137067481482</v>
      </c>
      <c r="N28" s="6">
        <f>I28/861627585541</f>
        <v>0.53543569839320926</v>
      </c>
    </row>
    <row r="29" spans="1:14" ht="31.5" hidden="1" customHeight="1">
      <c r="A29" s="4"/>
      <c r="B29" s="9" t="s">
        <v>135</v>
      </c>
      <c r="C29" s="5">
        <v>590000000000</v>
      </c>
      <c r="D29" s="5">
        <f>C29*60%</f>
        <v>354000000000</v>
      </c>
      <c r="E29" s="5">
        <v>0</v>
      </c>
      <c r="F29" s="5"/>
      <c r="G29" s="83">
        <f t="shared" si="4"/>
        <v>0</v>
      </c>
      <c r="H29" s="83">
        <f t="shared" si="5"/>
        <v>0</v>
      </c>
      <c r="I29" s="5"/>
      <c r="J29" s="5"/>
      <c r="K29" s="5"/>
      <c r="L29" s="6">
        <f t="shared" si="11"/>
        <v>0</v>
      </c>
      <c r="M29" s="6">
        <f t="shared" si="11"/>
        <v>0</v>
      </c>
      <c r="N29" s="6" t="e">
        <v>#DIV/0!</v>
      </c>
    </row>
    <row r="30" spans="1:14" ht="19.5" customHeight="1">
      <c r="A30" s="78">
        <v>10</v>
      </c>
      <c r="B30" s="7" t="s">
        <v>59</v>
      </c>
      <c r="C30" s="79">
        <v>14000000000</v>
      </c>
      <c r="D30" s="79">
        <f>C30</f>
        <v>14000000000</v>
      </c>
      <c r="E30" s="79">
        <f>I30-8138176749</f>
        <v>2102746028</v>
      </c>
      <c r="F30" s="79">
        <f>E30</f>
        <v>2102746028</v>
      </c>
      <c r="G30" s="83">
        <f t="shared" si="4"/>
        <v>0.15019614485714286</v>
      </c>
      <c r="H30" s="83">
        <f t="shared" si="5"/>
        <v>0.15019614485714286</v>
      </c>
      <c r="I30" s="79">
        <v>10240922777</v>
      </c>
      <c r="J30" s="79">
        <v>10240922777</v>
      </c>
      <c r="K30" s="79">
        <v>4939794679</v>
      </c>
      <c r="L30" s="6">
        <f t="shared" si="11"/>
        <v>0.73149448407142859</v>
      </c>
      <c r="M30" s="6">
        <f t="shared" si="11"/>
        <v>0.73149448407142859</v>
      </c>
      <c r="N30" s="6">
        <f>I30/11891848892</f>
        <v>0.8611716201581886</v>
      </c>
    </row>
    <row r="31" spans="1:14" ht="22.5" customHeight="1">
      <c r="A31" s="78">
        <v>11</v>
      </c>
      <c r="B31" s="7" t="s">
        <v>60</v>
      </c>
      <c r="C31" s="5">
        <v>0</v>
      </c>
      <c r="D31" s="5"/>
      <c r="E31" s="5"/>
      <c r="F31" s="5"/>
      <c r="G31" s="83"/>
      <c r="H31" s="83"/>
      <c r="I31" s="5"/>
      <c r="J31" s="5"/>
      <c r="K31" s="5"/>
      <c r="L31" s="6"/>
      <c r="M31" s="6"/>
      <c r="N31" s="6"/>
    </row>
    <row r="32" spans="1:14">
      <c r="A32" s="4"/>
      <c r="B32" s="9" t="s">
        <v>61</v>
      </c>
      <c r="C32" s="5">
        <v>0</v>
      </c>
      <c r="D32" s="5"/>
      <c r="E32" s="5"/>
      <c r="F32" s="5"/>
      <c r="G32" s="83"/>
      <c r="H32" s="83"/>
      <c r="I32" s="5"/>
      <c r="J32" s="5"/>
      <c r="K32" s="5"/>
      <c r="L32" s="6"/>
      <c r="M32" s="6"/>
      <c r="N32" s="6"/>
    </row>
    <row r="33" spans="1:14" ht="31.5">
      <c r="A33" s="78">
        <v>12</v>
      </c>
      <c r="B33" s="7" t="s">
        <v>62</v>
      </c>
      <c r="C33" s="5">
        <v>0</v>
      </c>
      <c r="D33" s="5"/>
      <c r="E33" s="5"/>
      <c r="F33" s="5"/>
      <c r="G33" s="83"/>
      <c r="H33" s="83"/>
      <c r="I33" s="5"/>
      <c r="J33" s="5"/>
      <c r="K33" s="5"/>
      <c r="L33" s="6"/>
      <c r="M33" s="6"/>
      <c r="N33" s="6"/>
    </row>
    <row r="34" spans="1:14" ht="18.75">
      <c r="A34" s="78">
        <v>13</v>
      </c>
      <c r="B34" s="7" t="s">
        <v>21</v>
      </c>
      <c r="C34" s="79">
        <v>85000000000</v>
      </c>
      <c r="D34" s="79">
        <f>D35</f>
        <v>55000000000</v>
      </c>
      <c r="E34" s="202">
        <f>I34-90142323521</f>
        <v>37423821544</v>
      </c>
      <c r="F34" s="79">
        <f>E35</f>
        <v>32041247028</v>
      </c>
      <c r="G34" s="83">
        <f t="shared" si="4"/>
        <v>0.44028025345882355</v>
      </c>
      <c r="H34" s="83">
        <f t="shared" si="5"/>
        <v>0.58256812778181821</v>
      </c>
      <c r="I34" s="79">
        <v>127566145065</v>
      </c>
      <c r="J34" s="79">
        <v>80670635133</v>
      </c>
      <c r="K34" s="79">
        <v>61356665086</v>
      </c>
      <c r="L34" s="6">
        <f>(I34/C34)*100%</f>
        <v>1.5007781772352942</v>
      </c>
      <c r="M34" s="6">
        <f>(J34/D34)*100%</f>
        <v>1.4667388206</v>
      </c>
      <c r="N34" s="6">
        <f>I34/160781096288</f>
        <v>0.7934150718595453</v>
      </c>
    </row>
    <row r="35" spans="1:14" ht="18.75">
      <c r="A35" s="4"/>
      <c r="B35" s="9" t="s">
        <v>63</v>
      </c>
      <c r="C35" s="5">
        <v>55000000000</v>
      </c>
      <c r="D35" s="5">
        <f>C35</f>
        <v>55000000000</v>
      </c>
      <c r="E35" s="188">
        <f>I35-48629388105</f>
        <v>32041247028</v>
      </c>
      <c r="F35" s="5">
        <f>E35</f>
        <v>32041247028</v>
      </c>
      <c r="G35" s="83">
        <f t="shared" si="4"/>
        <v>0.58256812778181821</v>
      </c>
      <c r="H35" s="83">
        <f t="shared" si="5"/>
        <v>0.58256812778181821</v>
      </c>
      <c r="I35" s="5">
        <v>80670635133</v>
      </c>
      <c r="J35" s="5">
        <v>80670635133</v>
      </c>
      <c r="K35" s="5">
        <v>50336344087</v>
      </c>
      <c r="L35" s="6">
        <f>(I35/C35)*100%</f>
        <v>1.4667388206</v>
      </c>
      <c r="M35" s="6">
        <f>(J35/D35)*100%</f>
        <v>1.4667388206</v>
      </c>
      <c r="N35" s="6">
        <f>I35/121643304228</f>
        <v>0.66317365879667656</v>
      </c>
    </row>
    <row r="36" spans="1:14" ht="31.5">
      <c r="A36" s="78">
        <v>14</v>
      </c>
      <c r="B36" s="7" t="s">
        <v>64</v>
      </c>
      <c r="C36" s="79"/>
      <c r="D36" s="5"/>
      <c r="E36" s="5"/>
      <c r="F36" s="5"/>
      <c r="G36" s="83"/>
      <c r="H36" s="83"/>
      <c r="I36" s="5"/>
      <c r="J36" s="5"/>
      <c r="K36" s="5"/>
      <c r="L36" s="6"/>
      <c r="M36" s="6"/>
      <c r="N36" s="6"/>
    </row>
    <row r="37" spans="1:14">
      <c r="A37" s="78">
        <v>16</v>
      </c>
      <c r="B37" s="7" t="s">
        <v>65</v>
      </c>
      <c r="C37" s="79">
        <v>0</v>
      </c>
      <c r="D37" s="5"/>
      <c r="E37" s="5"/>
      <c r="F37" s="5"/>
      <c r="G37" s="83"/>
      <c r="H37" s="83"/>
      <c r="I37" s="5"/>
      <c r="J37" s="5"/>
      <c r="K37" s="5"/>
      <c r="L37" s="6"/>
      <c r="M37" s="6"/>
      <c r="N37" s="6"/>
    </row>
    <row r="38" spans="1:14" ht="31.5">
      <c r="A38" s="78">
        <v>17</v>
      </c>
      <c r="B38" s="7" t="s">
        <v>66</v>
      </c>
      <c r="C38" s="5">
        <v>0</v>
      </c>
      <c r="D38" s="5"/>
      <c r="E38" s="5"/>
      <c r="F38" s="5"/>
      <c r="G38" s="83"/>
      <c r="H38" s="83"/>
      <c r="I38" s="5"/>
      <c r="J38" s="5"/>
      <c r="K38" s="5"/>
      <c r="L38" s="6"/>
      <c r="M38" s="6"/>
      <c r="N38" s="6"/>
    </row>
    <row r="39" spans="1:14">
      <c r="A39" s="78" t="s">
        <v>8</v>
      </c>
      <c r="B39" s="7" t="s">
        <v>67</v>
      </c>
      <c r="C39" s="5"/>
      <c r="D39" s="5"/>
      <c r="E39" s="5"/>
      <c r="F39" s="5"/>
      <c r="G39" s="83"/>
      <c r="H39" s="83"/>
      <c r="I39" s="5"/>
      <c r="J39" s="5"/>
      <c r="K39" s="5"/>
      <c r="L39" s="6"/>
      <c r="M39" s="6"/>
      <c r="N39" s="6"/>
    </row>
    <row r="40" spans="1:14">
      <c r="A40" s="78" t="s">
        <v>2</v>
      </c>
      <c r="B40" s="7" t="s">
        <v>68</v>
      </c>
      <c r="C40" s="79">
        <f>C41+C42+C45</f>
        <v>1035098500000</v>
      </c>
      <c r="D40" s="79">
        <f t="shared" ref="D40" si="12">D41+D42+D45</f>
        <v>1035098500000</v>
      </c>
      <c r="E40" s="79">
        <f>E41+E42</f>
        <v>380574500000</v>
      </c>
      <c r="F40" s="79">
        <f>F41+F42</f>
        <v>380574500000</v>
      </c>
      <c r="G40" s="83">
        <f t="shared" si="4"/>
        <v>0.3676698401166652</v>
      </c>
      <c r="H40" s="83">
        <f t="shared" si="5"/>
        <v>0.3676698401166652</v>
      </c>
      <c r="I40" s="79">
        <v>1035098500000</v>
      </c>
      <c r="J40" s="79">
        <v>1035098500000</v>
      </c>
      <c r="K40" s="79">
        <v>439931000000</v>
      </c>
      <c r="L40" s="6">
        <f>(I40/C40)*100%</f>
        <v>1</v>
      </c>
      <c r="M40" s="6">
        <f>(J40/D40)*100%</f>
        <v>1</v>
      </c>
      <c r="N40" s="6">
        <f>I40/1504600000000</f>
        <v>0.68795593513226105</v>
      </c>
    </row>
    <row r="41" spans="1:14">
      <c r="A41" s="4"/>
      <c r="B41" s="10" t="s">
        <v>69</v>
      </c>
      <c r="C41" s="5">
        <v>806824000000</v>
      </c>
      <c r="D41" s="5">
        <f>C41</f>
        <v>806824000000</v>
      </c>
      <c r="E41" s="5">
        <f>I41-470645000000</f>
        <v>336179000000</v>
      </c>
      <c r="F41" s="5">
        <f>E41</f>
        <v>336179000000</v>
      </c>
      <c r="G41" s="83">
        <f t="shared" si="4"/>
        <v>0.41666955866459104</v>
      </c>
      <c r="H41" s="83">
        <f t="shared" si="5"/>
        <v>0.41666955866459104</v>
      </c>
      <c r="I41" s="5">
        <v>806824000000</v>
      </c>
      <c r="J41" s="5">
        <v>806824000000</v>
      </c>
      <c r="K41" s="5">
        <v>333205000000</v>
      </c>
      <c r="L41" s="6">
        <f>(I41/C41)*100%</f>
        <v>1</v>
      </c>
      <c r="M41" s="6">
        <f>(J41/D41)*100%</f>
        <v>1</v>
      </c>
      <c r="N41" s="6">
        <f>I41/799693000000</f>
        <v>1.0089171719647414</v>
      </c>
    </row>
    <row r="42" spans="1:14">
      <c r="A42" s="4"/>
      <c r="B42" s="10" t="s">
        <v>136</v>
      </c>
      <c r="C42" s="79">
        <f>C43+C44</f>
        <v>136664500000</v>
      </c>
      <c r="D42" s="79">
        <f t="shared" ref="D42" si="13">D43+D44</f>
        <v>136664500000</v>
      </c>
      <c r="E42" s="5">
        <f>I42-92269000000</f>
        <v>44395500000</v>
      </c>
      <c r="F42" s="5">
        <f>E42</f>
        <v>44395500000</v>
      </c>
      <c r="G42" s="83"/>
      <c r="H42" s="83"/>
      <c r="I42" s="79">
        <v>136664500000</v>
      </c>
      <c r="J42" s="79">
        <v>136664500000</v>
      </c>
      <c r="K42" s="5">
        <v>333205000000</v>
      </c>
      <c r="L42" s="6"/>
      <c r="M42" s="6"/>
      <c r="N42" s="6"/>
    </row>
    <row r="43" spans="1:14">
      <c r="A43" s="4"/>
      <c r="B43" s="10" t="s">
        <v>70</v>
      </c>
      <c r="C43" s="5">
        <v>22500000000</v>
      </c>
      <c r="D43" s="5">
        <f>C43</f>
        <v>22500000000</v>
      </c>
      <c r="E43" s="5">
        <f>I43-22500000000</f>
        <v>0</v>
      </c>
      <c r="F43" s="5">
        <f>E43</f>
        <v>0</v>
      </c>
      <c r="G43" s="5"/>
      <c r="H43" s="5"/>
      <c r="I43" s="5">
        <v>22500000000</v>
      </c>
      <c r="J43" s="5">
        <v>22500000000</v>
      </c>
      <c r="K43" s="5"/>
      <c r="L43" s="6"/>
      <c r="M43" s="6"/>
      <c r="N43" s="6"/>
    </row>
    <row r="44" spans="1:14">
      <c r="A44" s="4"/>
      <c r="B44" s="10" t="s">
        <v>71</v>
      </c>
      <c r="C44" s="5">
        <v>114164500000</v>
      </c>
      <c r="D44" s="5">
        <f>C44</f>
        <v>114164500000</v>
      </c>
      <c r="E44" s="5">
        <f>I44-69769000000</f>
        <v>44395500000</v>
      </c>
      <c r="F44" s="5">
        <f>E44</f>
        <v>44395500000</v>
      </c>
      <c r="G44" s="5"/>
      <c r="H44" s="5"/>
      <c r="I44" s="5">
        <v>114164500000</v>
      </c>
      <c r="J44" s="5">
        <v>114164500000</v>
      </c>
      <c r="K44" s="5"/>
      <c r="L44" s="6"/>
      <c r="M44" s="6"/>
      <c r="N44" s="6">
        <f>I44/598181000000</f>
        <v>0.19085276864360454</v>
      </c>
    </row>
    <row r="45" spans="1:14">
      <c r="A45" s="78"/>
      <c r="B45" s="10" t="s">
        <v>137</v>
      </c>
      <c r="C45" s="5">
        <v>91610000000</v>
      </c>
      <c r="D45" s="5">
        <f>C45</f>
        <v>91610000000</v>
      </c>
      <c r="E45" s="5">
        <v>0</v>
      </c>
      <c r="F45" s="5">
        <v>0</v>
      </c>
      <c r="G45" s="5"/>
      <c r="H45" s="5"/>
      <c r="I45" s="5">
        <v>91610000000</v>
      </c>
      <c r="J45" s="5">
        <v>91610000000</v>
      </c>
      <c r="K45" s="5">
        <v>106726000000</v>
      </c>
      <c r="L45" s="6">
        <f>(I45/C45)*100%</f>
        <v>1</v>
      </c>
      <c r="M45" s="6">
        <f>(J45/D45)*100%</f>
        <v>1</v>
      </c>
      <c r="N45" s="6"/>
    </row>
    <row r="46" spans="1:14" s="65" customFormat="1">
      <c r="A46" s="78" t="s">
        <v>10</v>
      </c>
      <c r="B46" s="12" t="s">
        <v>138</v>
      </c>
      <c r="C46" s="79"/>
      <c r="D46" s="79"/>
      <c r="E46" s="79">
        <v>0</v>
      </c>
      <c r="F46" s="79">
        <f>E46</f>
        <v>0</v>
      </c>
      <c r="G46" s="79"/>
      <c r="H46" s="79"/>
      <c r="I46" s="79">
        <v>1138728730244</v>
      </c>
      <c r="J46" s="79">
        <v>1138728730244</v>
      </c>
      <c r="K46" s="3"/>
      <c r="L46" s="6"/>
      <c r="M46" s="6"/>
      <c r="N46" s="6"/>
    </row>
    <row r="47" spans="1:14" s="65" customFormat="1">
      <c r="A47" s="78" t="s">
        <v>23</v>
      </c>
      <c r="B47" s="12" t="s">
        <v>139</v>
      </c>
      <c r="C47" s="79"/>
      <c r="D47" s="79"/>
      <c r="E47" s="79"/>
      <c r="F47" s="79"/>
      <c r="G47" s="79"/>
      <c r="H47" s="79"/>
      <c r="I47" s="79"/>
      <c r="J47" s="79"/>
      <c r="K47" s="3"/>
      <c r="L47" s="6"/>
      <c r="M47" s="6"/>
      <c r="N47" s="6"/>
    </row>
    <row r="48" spans="1:14" s="65" customFormat="1">
      <c r="A48" s="78" t="s">
        <v>116</v>
      </c>
      <c r="B48" s="12" t="s">
        <v>141</v>
      </c>
      <c r="C48" s="79"/>
      <c r="D48" s="79"/>
      <c r="E48" s="79">
        <v>0</v>
      </c>
      <c r="F48" s="79"/>
      <c r="G48" s="79"/>
      <c r="H48" s="79"/>
      <c r="I48" s="79">
        <v>1432136459844</v>
      </c>
      <c r="J48" s="79">
        <v>1432136459844</v>
      </c>
      <c r="K48" s="3"/>
      <c r="L48" s="6"/>
      <c r="M48" s="6"/>
      <c r="N48" s="6"/>
    </row>
    <row r="49" spans="1:14" ht="27" customHeight="1">
      <c r="A49" s="78" t="s">
        <v>181</v>
      </c>
      <c r="B49" s="7" t="s">
        <v>72</v>
      </c>
      <c r="C49" s="79">
        <f>C50</f>
        <v>0</v>
      </c>
      <c r="D49" s="79">
        <f>D50</f>
        <v>28879000000</v>
      </c>
      <c r="E49" s="79"/>
      <c r="F49" s="79"/>
      <c r="G49" s="79"/>
      <c r="H49" s="79"/>
      <c r="I49" s="79">
        <f t="shared" ref="I49:J49" si="14">I50</f>
        <v>0</v>
      </c>
      <c r="J49" s="79">
        <f t="shared" si="14"/>
        <v>0</v>
      </c>
      <c r="L49" s="6"/>
      <c r="M49" s="6"/>
      <c r="N49" s="6"/>
    </row>
    <row r="50" spans="1:14">
      <c r="A50" s="4"/>
      <c r="B50" s="10" t="s">
        <v>143</v>
      </c>
      <c r="C50" s="5">
        <v>0</v>
      </c>
      <c r="D50" s="5">
        <v>28879000000</v>
      </c>
      <c r="E50" s="5"/>
      <c r="F50" s="5"/>
      <c r="G50" s="5"/>
      <c r="H50" s="5"/>
      <c r="I50" s="5"/>
      <c r="J50" s="5"/>
      <c r="L50" s="11"/>
      <c r="M50" s="11"/>
      <c r="N50" s="11"/>
    </row>
    <row r="51" spans="1:14" ht="29.25" customHeight="1">
      <c r="A51" s="13" t="s">
        <v>144</v>
      </c>
      <c r="C51" s="2"/>
      <c r="D51" s="2"/>
      <c r="E51" s="2"/>
      <c r="F51" s="2"/>
      <c r="G51" s="2"/>
      <c r="H51" s="2"/>
      <c r="I51" s="2"/>
      <c r="J51" s="2"/>
      <c r="K51" s="2"/>
    </row>
    <row r="52" spans="1:14">
      <c r="A52" s="13"/>
      <c r="C52" s="2"/>
      <c r="D52" s="2"/>
      <c r="E52" s="2"/>
      <c r="F52" s="2"/>
      <c r="G52" s="2"/>
      <c r="H52" s="2"/>
      <c r="I52" s="2"/>
      <c r="J52" s="2"/>
      <c r="K52" s="2"/>
    </row>
    <row r="53" spans="1:14">
      <c r="A53" s="13"/>
      <c r="C53" s="2"/>
      <c r="D53" s="2"/>
      <c r="E53" s="2"/>
      <c r="F53" s="2"/>
      <c r="G53" s="2"/>
      <c r="H53" s="2"/>
      <c r="I53" s="2"/>
      <c r="J53" s="2"/>
      <c r="K53" s="2"/>
    </row>
    <row r="54" spans="1:14">
      <c r="A54" s="13"/>
      <c r="C54" s="2"/>
      <c r="D54" s="2"/>
      <c r="E54" s="2"/>
      <c r="F54" s="2"/>
      <c r="G54" s="2"/>
      <c r="H54" s="2"/>
      <c r="I54" s="2"/>
      <c r="J54" s="2"/>
      <c r="K54" s="2"/>
    </row>
    <row r="55" spans="1:14">
      <c r="A55" s="13"/>
      <c r="C55" s="2"/>
      <c r="D55" s="2"/>
      <c r="E55" s="2"/>
      <c r="F55" s="2"/>
      <c r="G55" s="2"/>
      <c r="H55" s="2"/>
      <c r="I55" s="2"/>
      <c r="J55" s="2"/>
      <c r="K55" s="2"/>
    </row>
    <row r="56" spans="1:14">
      <c r="A56" s="13"/>
      <c r="C56" s="2"/>
      <c r="D56" s="2"/>
      <c r="E56" s="2"/>
      <c r="F56" s="2"/>
      <c r="G56" s="2"/>
      <c r="H56" s="2"/>
      <c r="I56" s="2"/>
      <c r="J56" s="2"/>
      <c r="K56" s="2"/>
    </row>
    <row r="57" spans="1:14">
      <c r="A57" s="13"/>
      <c r="C57" s="2"/>
      <c r="D57" s="2"/>
      <c r="E57" s="2"/>
      <c r="F57" s="2"/>
      <c r="G57" s="2"/>
      <c r="H57" s="2"/>
      <c r="I57" s="2"/>
      <c r="J57" s="2"/>
      <c r="K57" s="2"/>
    </row>
    <row r="58" spans="1:14">
      <c r="A58" s="13"/>
      <c r="C58" s="2"/>
      <c r="D58" s="2"/>
      <c r="E58" s="2"/>
      <c r="F58" s="2"/>
      <c r="G58" s="2"/>
      <c r="H58" s="2"/>
      <c r="I58" s="2"/>
      <c r="J58" s="2"/>
      <c r="K58" s="2"/>
    </row>
    <row r="59" spans="1:14">
      <c r="A59" s="13"/>
      <c r="C59" s="2"/>
      <c r="D59" s="2"/>
      <c r="E59" s="2"/>
      <c r="F59" s="2"/>
      <c r="G59" s="2"/>
      <c r="H59" s="2"/>
      <c r="I59" s="2"/>
      <c r="J59" s="2"/>
      <c r="K59" s="2"/>
    </row>
    <row r="60" spans="1:14">
      <c r="A60" s="13"/>
      <c r="C60" s="2"/>
      <c r="D60" s="2"/>
      <c r="E60" s="2"/>
      <c r="F60" s="2"/>
      <c r="G60" s="2"/>
      <c r="H60" s="2"/>
      <c r="I60" s="2"/>
      <c r="J60" s="2"/>
      <c r="K60" s="2"/>
    </row>
    <row r="61" spans="1:14">
      <c r="A61" s="13"/>
      <c r="C61" s="2"/>
      <c r="D61" s="2"/>
      <c r="E61" s="2"/>
      <c r="F61" s="2"/>
      <c r="G61" s="2"/>
      <c r="H61" s="2"/>
      <c r="I61" s="2"/>
      <c r="J61" s="2"/>
      <c r="K61" s="2"/>
    </row>
    <row r="62" spans="1:14">
      <c r="A62" s="13"/>
      <c r="C62" s="2"/>
      <c r="D62" s="2"/>
      <c r="E62" s="2"/>
      <c r="F62" s="2"/>
      <c r="G62" s="2"/>
      <c r="H62" s="2"/>
      <c r="I62" s="2"/>
      <c r="J62" s="2"/>
      <c r="K62" s="2"/>
    </row>
    <row r="63" spans="1:14">
      <c r="A63" s="13"/>
      <c r="C63" s="2"/>
      <c r="D63" s="2"/>
      <c r="E63" s="2"/>
      <c r="F63" s="2"/>
      <c r="G63" s="2"/>
      <c r="H63" s="2"/>
      <c r="I63" s="2"/>
      <c r="J63" s="2"/>
      <c r="K63" s="2"/>
    </row>
    <row r="64" spans="1:14">
      <c r="A64" s="13"/>
      <c r="C64" s="2"/>
      <c r="D64" s="2"/>
      <c r="E64" s="2"/>
      <c r="F64" s="2"/>
      <c r="G64" s="2"/>
      <c r="H64" s="2"/>
      <c r="I64" s="2"/>
      <c r="J64" s="2"/>
      <c r="K64" s="2"/>
    </row>
    <row r="65" spans="1:14">
      <c r="A65" s="13"/>
      <c r="C65" s="2"/>
      <c r="D65" s="2"/>
      <c r="E65" s="2"/>
      <c r="F65" s="2"/>
      <c r="G65" s="2"/>
      <c r="H65" s="2"/>
      <c r="I65" s="2"/>
      <c r="J65" s="2"/>
      <c r="K65" s="2"/>
    </row>
    <row r="66" spans="1:14">
      <c r="A66" s="13"/>
      <c r="C66" s="2"/>
      <c r="D66" s="2"/>
      <c r="E66" s="2"/>
      <c r="F66" s="2"/>
      <c r="G66" s="2"/>
      <c r="H66" s="2"/>
      <c r="I66" s="2"/>
      <c r="J66" s="2"/>
      <c r="K66" s="2"/>
    </row>
    <row r="67" spans="1:14">
      <c r="A67" s="13"/>
    </row>
    <row r="68" spans="1:14">
      <c r="A68" s="13"/>
    </row>
    <row r="69" spans="1:14">
      <c r="A69" s="13"/>
    </row>
    <row r="70" spans="1:14">
      <c r="A70" s="13"/>
    </row>
    <row r="71" spans="1:14">
      <c r="A71" s="13"/>
    </row>
    <row r="72" spans="1:14">
      <c r="A72" s="13"/>
      <c r="K72" s="15"/>
    </row>
    <row r="73" spans="1:14">
      <c r="A73" s="13"/>
      <c r="K73" s="15"/>
    </row>
    <row r="74" spans="1:14">
      <c r="A74" s="13"/>
    </row>
    <row r="75" spans="1:14">
      <c r="A75" s="13"/>
    </row>
    <row r="76" spans="1:14">
      <c r="A76" s="13"/>
    </row>
    <row r="77" spans="1:14">
      <c r="A77" s="13"/>
      <c r="C77" s="14"/>
      <c r="D77" s="15"/>
      <c r="E77" s="15"/>
      <c r="F77" s="15"/>
      <c r="G77" s="15"/>
      <c r="H77" s="15"/>
      <c r="I77" s="15"/>
      <c r="J77" s="15"/>
      <c r="L77" s="61"/>
      <c r="M77" s="61"/>
      <c r="N77" s="61"/>
    </row>
    <row r="78" spans="1:14">
      <c r="A78" s="2" t="s">
        <v>73</v>
      </c>
      <c r="C78" s="15"/>
      <c r="D78" s="15"/>
      <c r="E78" s="15"/>
      <c r="F78" s="15"/>
      <c r="G78" s="15"/>
      <c r="H78" s="15"/>
      <c r="I78" s="15"/>
      <c r="J78" s="15"/>
      <c r="L78" s="16"/>
      <c r="M78" s="16"/>
      <c r="N78" s="16"/>
    </row>
    <row r="79" spans="1:14">
      <c r="A79" s="77"/>
    </row>
    <row r="80" spans="1:14">
      <c r="A80" s="77"/>
    </row>
    <row r="81" spans="1:11">
      <c r="A81" s="77"/>
    </row>
    <row r="82" spans="1:11">
      <c r="A82" s="77"/>
    </row>
    <row r="83" spans="1:11">
      <c r="E83" s="2"/>
      <c r="F83" s="2"/>
      <c r="G83" s="2"/>
      <c r="H83" s="2"/>
      <c r="I83" s="2"/>
      <c r="J83" s="2"/>
      <c r="K83" s="2"/>
    </row>
    <row r="84" spans="1:11">
      <c r="E84" s="2"/>
      <c r="F84" s="2"/>
      <c r="G84" s="2"/>
      <c r="H84" s="2"/>
      <c r="I84" s="2"/>
      <c r="J84" s="2"/>
      <c r="K84" s="2"/>
    </row>
    <row r="85" spans="1:11">
      <c r="E85" s="2"/>
      <c r="F85" s="2"/>
      <c r="G85" s="2"/>
      <c r="H85" s="2"/>
      <c r="I85" s="2"/>
      <c r="J85" s="2"/>
      <c r="K85" s="2"/>
    </row>
    <row r="86" spans="1:11">
      <c r="E86" s="2"/>
      <c r="F86" s="2"/>
      <c r="G86" s="2"/>
      <c r="H86" s="2"/>
      <c r="I86" s="2"/>
      <c r="J86" s="2"/>
      <c r="K86" s="2"/>
    </row>
    <row r="87" spans="1:11">
      <c r="E87" s="2"/>
      <c r="F87" s="2"/>
      <c r="G87" s="2"/>
      <c r="H87" s="2"/>
      <c r="I87" s="2"/>
      <c r="J87" s="2"/>
      <c r="K87" s="2"/>
    </row>
    <row r="88" spans="1:11">
      <c r="E88" s="2"/>
      <c r="F88" s="2"/>
      <c r="G88" s="2"/>
      <c r="H88" s="2"/>
      <c r="I88" s="2"/>
      <c r="J88" s="2"/>
      <c r="K88" s="2"/>
    </row>
    <row r="89" spans="1:11">
      <c r="E89" s="2"/>
      <c r="F89" s="2"/>
      <c r="G89" s="2"/>
      <c r="H89" s="2"/>
      <c r="I89" s="2"/>
      <c r="J89" s="2"/>
      <c r="K89" s="2"/>
    </row>
    <row r="90" spans="1:11">
      <c r="E90" s="2"/>
      <c r="F90" s="2"/>
      <c r="G90" s="2"/>
      <c r="H90" s="2"/>
      <c r="I90" s="2"/>
      <c r="J90" s="2"/>
      <c r="K90" s="2"/>
    </row>
    <row r="91" spans="1:11">
      <c r="E91" s="2"/>
      <c r="F91" s="2"/>
      <c r="G91" s="2"/>
      <c r="H91" s="2"/>
      <c r="I91" s="2"/>
      <c r="J91" s="2"/>
      <c r="K91" s="2"/>
    </row>
    <row r="93" spans="1:11">
      <c r="E93" s="2"/>
      <c r="F93" s="2"/>
      <c r="G93" s="2"/>
      <c r="H93" s="2"/>
      <c r="I93" s="2"/>
      <c r="J93" s="2"/>
      <c r="K93" s="2"/>
    </row>
    <row r="94" spans="1:11">
      <c r="E94" s="2"/>
      <c r="F94" s="2"/>
      <c r="G94" s="2"/>
      <c r="H94" s="2"/>
      <c r="I94" s="2"/>
      <c r="J94" s="2"/>
      <c r="K94" s="2"/>
    </row>
    <row r="95" spans="1:11">
      <c r="E95" s="2"/>
      <c r="F95" s="2"/>
      <c r="G95" s="2"/>
      <c r="H95" s="2"/>
      <c r="I95" s="2"/>
      <c r="J95" s="2"/>
      <c r="K95" s="2"/>
    </row>
    <row r="96" spans="1:11">
      <c r="E96" s="2"/>
      <c r="F96" s="2"/>
      <c r="G96" s="2"/>
      <c r="H96" s="2"/>
      <c r="I96" s="2"/>
      <c r="J96" s="2"/>
      <c r="K96" s="2"/>
    </row>
    <row r="97" spans="3:11">
      <c r="E97" s="2"/>
      <c r="F97" s="2"/>
      <c r="G97" s="2"/>
      <c r="H97" s="2"/>
      <c r="I97" s="2"/>
      <c r="J97" s="2"/>
      <c r="K97" s="2"/>
    </row>
    <row r="98" spans="3:11"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</sheetData>
  <mergeCells count="8">
    <mergeCell ref="A4:M4"/>
    <mergeCell ref="C1:L1"/>
    <mergeCell ref="C2:L2"/>
    <mergeCell ref="A6:A7"/>
    <mergeCell ref="B6:B7"/>
    <mergeCell ref="C6:D6"/>
    <mergeCell ref="E6:J6"/>
    <mergeCell ref="L6:N6"/>
  </mergeCells>
  <pageMargins left="0.7" right="0.7" top="0.75" bottom="0.75" header="0.3" footer="0.3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70"/>
  <sheetViews>
    <sheetView workbookViewId="0">
      <selection activeCell="E7" sqref="E7:E8"/>
    </sheetView>
  </sheetViews>
  <sheetFormatPr defaultRowHeight="15.75"/>
  <cols>
    <col min="1" max="1" width="5.875" customWidth="1"/>
    <col min="2" max="2" width="43.75" customWidth="1"/>
    <col min="3" max="3" width="19.25" style="1" customWidth="1"/>
    <col min="4" max="4" width="17" customWidth="1"/>
    <col min="5" max="5" width="17.125" customWidth="1"/>
    <col min="6" max="6" width="7.25" customWidth="1"/>
    <col min="7" max="7" width="8.125" style="88" customWidth="1"/>
    <col min="8" max="8" width="18.125" customWidth="1"/>
    <col min="9" max="9" width="7.625" style="92" customWidth="1"/>
    <col min="10" max="10" width="7.75" customWidth="1"/>
    <col min="11" max="11" width="7" style="191" customWidth="1"/>
    <col min="12" max="12" width="15.75" customWidth="1"/>
    <col min="13" max="13" width="15.625" hidden="1" customWidth="1"/>
  </cols>
  <sheetData>
    <row r="1" spans="1:13" ht="22.5" customHeight="1">
      <c r="A1" s="257" t="s">
        <v>28</v>
      </c>
      <c r="B1" s="257"/>
      <c r="C1" s="17"/>
      <c r="D1" s="231" t="s">
        <v>12</v>
      </c>
      <c r="E1" s="231"/>
      <c r="F1" s="231"/>
      <c r="G1" s="231"/>
      <c r="H1" s="231"/>
      <c r="I1" s="231"/>
      <c r="J1" s="231"/>
      <c r="K1" s="190"/>
    </row>
    <row r="2" spans="1:13" ht="20.25" customHeight="1">
      <c r="A2" s="258" t="s">
        <v>29</v>
      </c>
      <c r="B2" s="258"/>
      <c r="C2" s="18"/>
      <c r="D2" s="259" t="s">
        <v>49</v>
      </c>
      <c r="E2" s="259"/>
      <c r="F2" s="259"/>
      <c r="G2" s="259"/>
      <c r="H2" s="259"/>
      <c r="I2" s="259"/>
      <c r="J2" s="259"/>
    </row>
    <row r="3" spans="1:13" ht="17.25" customHeight="1">
      <c r="G3" s="90"/>
      <c r="I3" s="90"/>
    </row>
    <row r="4" spans="1:13" ht="28.5" customHeight="1">
      <c r="A4" s="250" t="s">
        <v>168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3" ht="16.5" customHeight="1">
      <c r="A5" s="250"/>
      <c r="B5" s="250"/>
      <c r="C5" s="250"/>
      <c r="D5" s="250"/>
      <c r="G5" s="90"/>
      <c r="H5" s="1"/>
      <c r="I5" s="119"/>
      <c r="L5" s="19"/>
    </row>
    <row r="6" spans="1:13" ht="22.5" customHeight="1">
      <c r="D6" s="19"/>
      <c r="E6" s="19"/>
      <c r="G6" s="89"/>
      <c r="H6" s="66"/>
      <c r="I6" s="118"/>
    </row>
    <row r="7" spans="1:13" s="20" customFormat="1" ht="26.25" customHeight="1">
      <c r="A7" s="251" t="s">
        <v>0</v>
      </c>
      <c r="B7" s="253" t="s">
        <v>74</v>
      </c>
      <c r="C7" s="262" t="s">
        <v>145</v>
      </c>
      <c r="D7" s="244" t="s">
        <v>146</v>
      </c>
      <c r="E7" s="246" t="s">
        <v>166</v>
      </c>
      <c r="F7" s="248" t="s">
        <v>75</v>
      </c>
      <c r="G7" s="255" t="s">
        <v>147</v>
      </c>
      <c r="H7" s="246" t="s">
        <v>167</v>
      </c>
      <c r="I7" s="260" t="s">
        <v>75</v>
      </c>
      <c r="J7" s="244" t="s">
        <v>147</v>
      </c>
      <c r="K7" s="241" t="s">
        <v>151</v>
      </c>
      <c r="M7" s="242" t="s">
        <v>153</v>
      </c>
    </row>
    <row r="8" spans="1:13" s="20" customFormat="1" ht="43.5" customHeight="1">
      <c r="A8" s="252"/>
      <c r="B8" s="254"/>
      <c r="C8" s="263"/>
      <c r="D8" s="245"/>
      <c r="E8" s="247"/>
      <c r="F8" s="249"/>
      <c r="G8" s="256"/>
      <c r="H8" s="247"/>
      <c r="I8" s="261"/>
      <c r="J8" s="245"/>
      <c r="K8" s="241"/>
      <c r="M8" s="243"/>
    </row>
    <row r="9" spans="1:13" s="20" customFormat="1" ht="30" customHeight="1">
      <c r="A9" s="21"/>
      <c r="B9" s="22" t="s">
        <v>76</v>
      </c>
      <c r="C9" s="198">
        <f>C10+C56+C57+C58</f>
        <v>3019082000000</v>
      </c>
      <c r="D9" s="198">
        <f>D10+D56+D57+D58</f>
        <v>3466481000000</v>
      </c>
      <c r="E9" s="198">
        <f>E10+E52+E56</f>
        <v>1324206027917</v>
      </c>
      <c r="F9" s="24">
        <f t="shared" ref="F9:F15" si="0">E9/C9*100%</f>
        <v>0.43861214366386869</v>
      </c>
      <c r="G9" s="24">
        <f t="shared" ref="G9:G32" si="1">E9/D9*100%</f>
        <v>0.38200296725036137</v>
      </c>
      <c r="H9" s="93">
        <f>H10+H52+H56+H58</f>
        <v>3127587387532</v>
      </c>
      <c r="I9" s="24">
        <f t="shared" ref="I9:I15" si="2">H9/C9*100%</f>
        <v>1.0359398610345794</v>
      </c>
      <c r="J9" s="24">
        <f t="shared" ref="J9:J32" si="3">H9/D9*100%</f>
        <v>0.90223699121154854</v>
      </c>
      <c r="K9" s="192">
        <f>H9/4421991976456</f>
        <v>0.70728020407639935</v>
      </c>
      <c r="M9" s="23" t="e">
        <f>M10+M52+M56+#REF!+#REF!+M61+M58</f>
        <v>#REF!</v>
      </c>
    </row>
    <row r="10" spans="1:13" s="29" customFormat="1" ht="26.25" customHeight="1">
      <c r="A10" s="26" t="s">
        <v>1</v>
      </c>
      <c r="B10" s="27" t="s">
        <v>77</v>
      </c>
      <c r="C10" s="28">
        <f>C11+C18+C45+C46+C47+C48+C51</f>
        <v>3019082000000</v>
      </c>
      <c r="D10" s="28">
        <f>D11+D18+D45+D46+D47+D48+D51</f>
        <v>3466481000000</v>
      </c>
      <c r="E10" s="28">
        <f>E11+E18+E45+E46</f>
        <v>1275279526813</v>
      </c>
      <c r="F10" s="69">
        <f t="shared" si="0"/>
        <v>0.42240638936372049</v>
      </c>
      <c r="G10" s="200">
        <f t="shared" si="1"/>
        <v>0.3678887975480033</v>
      </c>
      <c r="H10" s="28">
        <f>H11+H18+H45+H46</f>
        <v>2932804241104</v>
      </c>
      <c r="I10" s="24">
        <f t="shared" si="2"/>
        <v>0.97142251886633091</v>
      </c>
      <c r="J10" s="24">
        <f t="shared" si="3"/>
        <v>0.84604653569542143</v>
      </c>
      <c r="K10" s="193">
        <f>H10/3564068713928</f>
        <v>0.82288094773339082</v>
      </c>
      <c r="M10" s="67">
        <f t="shared" ref="M10" si="4">M11+M18+M45+M47+M46</f>
        <v>569953922630</v>
      </c>
    </row>
    <row r="11" spans="1:13" s="20" customFormat="1" ht="26.25" hidden="1" customHeight="1">
      <c r="A11" s="21" t="s">
        <v>5</v>
      </c>
      <c r="B11" s="21" t="s">
        <v>78</v>
      </c>
      <c r="C11" s="210">
        <f>SUM(C13:C15)</f>
        <v>600867000000</v>
      </c>
      <c r="D11" s="198">
        <f>D12</f>
        <v>855441000000</v>
      </c>
      <c r="E11" s="198">
        <f>E12</f>
        <v>515619000000</v>
      </c>
      <c r="F11" s="107">
        <f t="shared" si="0"/>
        <v>0.85812500936147262</v>
      </c>
      <c r="G11" s="201">
        <f t="shared" si="1"/>
        <v>0.60275226462140585</v>
      </c>
      <c r="H11" s="93">
        <f>H12+H17</f>
        <v>777775000000</v>
      </c>
      <c r="I11" s="199">
        <f t="shared" si="2"/>
        <v>1.2944212279922178</v>
      </c>
      <c r="J11" s="24">
        <f t="shared" si="3"/>
        <v>0.90920940193420707</v>
      </c>
      <c r="K11" s="193"/>
      <c r="L11" s="25"/>
      <c r="M11" s="30">
        <f t="shared" ref="M11" si="5">M12</f>
        <v>134488000000</v>
      </c>
    </row>
    <row r="12" spans="1:13" s="20" customFormat="1" ht="26.25" customHeight="1">
      <c r="A12" s="121">
        <v>1</v>
      </c>
      <c r="B12" s="122" t="s">
        <v>79</v>
      </c>
      <c r="C12" s="123">
        <f>SUM(C13:C15)</f>
        <v>600867000000</v>
      </c>
      <c r="D12" s="123">
        <f>SUM(D13:D16)</f>
        <v>855441000000</v>
      </c>
      <c r="E12" s="123">
        <f>SUM(E13:E16)</f>
        <v>515619000000</v>
      </c>
      <c r="F12" s="24">
        <f t="shared" si="0"/>
        <v>0.85812500936147262</v>
      </c>
      <c r="G12" s="24">
        <f t="shared" si="1"/>
        <v>0.60275226462140585</v>
      </c>
      <c r="H12" s="123">
        <f>SUM(H13:H16)</f>
        <v>777775000000</v>
      </c>
      <c r="I12" s="24">
        <f t="shared" si="2"/>
        <v>1.2944212279922178</v>
      </c>
      <c r="J12" s="24">
        <f t="shared" si="3"/>
        <v>0.90920940193420707</v>
      </c>
      <c r="K12" s="193">
        <f>H12/1103382000000*100%</f>
        <v>0.70490093186222003</v>
      </c>
      <c r="M12" s="30">
        <f>SUM(M13:M15)</f>
        <v>134488000000</v>
      </c>
    </row>
    <row r="13" spans="1:13" s="20" customFormat="1" ht="26.25" customHeight="1">
      <c r="A13" s="120"/>
      <c r="B13" s="124" t="s">
        <v>80</v>
      </c>
      <c r="C13" s="125">
        <v>239257000000</v>
      </c>
      <c r="D13" s="125">
        <v>239257000000</v>
      </c>
      <c r="E13" s="38">
        <f>208747000000-43422000000</f>
        <v>165325000000</v>
      </c>
      <c r="F13" s="69">
        <f t="shared" si="0"/>
        <v>0.69099336696522984</v>
      </c>
      <c r="G13" s="69">
        <f t="shared" si="1"/>
        <v>0.69099336696522984</v>
      </c>
      <c r="H13" s="38">
        <v>208747000000</v>
      </c>
      <c r="I13" s="69">
        <f t="shared" si="2"/>
        <v>0.87248022001446146</v>
      </c>
      <c r="J13" s="116">
        <f t="shared" si="3"/>
        <v>0.87248022001446146</v>
      </c>
      <c r="K13" s="193">
        <f>H13/149305000000</f>
        <v>1.3981246441847226</v>
      </c>
      <c r="L13" s="25"/>
      <c r="M13" s="31">
        <v>78561000000</v>
      </c>
    </row>
    <row r="14" spans="1:13" s="20" customFormat="1" ht="26.25" customHeight="1">
      <c r="A14" s="95"/>
      <c r="B14" s="126" t="s">
        <v>81</v>
      </c>
      <c r="C14" s="127">
        <v>270000000000</v>
      </c>
      <c r="D14" s="127">
        <v>284554000000</v>
      </c>
      <c r="E14" s="39">
        <f>246364000000-67258000000</f>
        <v>179106000000</v>
      </c>
      <c r="F14" s="71">
        <f t="shared" si="0"/>
        <v>0.66335555555555559</v>
      </c>
      <c r="G14" s="71">
        <f t="shared" si="1"/>
        <v>0.62942710346718023</v>
      </c>
      <c r="H14" s="39">
        <v>246364000000</v>
      </c>
      <c r="I14" s="71">
        <f t="shared" si="2"/>
        <v>0.9124592592592593</v>
      </c>
      <c r="J14" s="24">
        <f t="shared" si="3"/>
        <v>0.86578997308068062</v>
      </c>
      <c r="K14" s="193">
        <f>H14/572134000000</f>
        <v>0.43060541761195803</v>
      </c>
      <c r="M14" s="31">
        <v>52225000000</v>
      </c>
    </row>
    <row r="15" spans="1:13" s="20" customFormat="1" ht="26.25" customHeight="1">
      <c r="A15" s="95"/>
      <c r="B15" s="126" t="s">
        <v>82</v>
      </c>
      <c r="C15" s="127">
        <v>91610000000</v>
      </c>
      <c r="D15" s="127">
        <v>93943000000</v>
      </c>
      <c r="E15" s="39">
        <f>93613000000-19748000000</f>
        <v>73865000000</v>
      </c>
      <c r="F15" s="71">
        <f t="shared" si="0"/>
        <v>0.80629843903503984</v>
      </c>
      <c r="G15" s="71">
        <f t="shared" si="1"/>
        <v>0.78627465590836998</v>
      </c>
      <c r="H15" s="39">
        <v>93613000000</v>
      </c>
      <c r="I15" s="71">
        <f t="shared" si="2"/>
        <v>1.0218644252810829</v>
      </c>
      <c r="J15" s="24">
        <f t="shared" si="3"/>
        <v>0.9964872316191733</v>
      </c>
      <c r="K15" s="193">
        <f>H15/131943000000</f>
        <v>0.70949576711155571</v>
      </c>
      <c r="L15" s="68"/>
      <c r="M15" s="31">
        <v>3702000000</v>
      </c>
    </row>
    <row r="16" spans="1:13" s="20" customFormat="1" ht="26.25" customHeight="1">
      <c r="A16" s="95"/>
      <c r="B16" s="128" t="s">
        <v>160</v>
      </c>
      <c r="C16" s="127">
        <v>0</v>
      </c>
      <c r="D16" s="127">
        <v>237687000000</v>
      </c>
      <c r="E16" s="39">
        <f>229051000000-131728000000</f>
        <v>97323000000</v>
      </c>
      <c r="F16" s="71"/>
      <c r="G16" s="71">
        <f t="shared" si="1"/>
        <v>0.40945865781468904</v>
      </c>
      <c r="H16" s="39">
        <v>229051000000</v>
      </c>
      <c r="I16" s="71">
        <v>0</v>
      </c>
      <c r="J16" s="24">
        <f t="shared" si="3"/>
        <v>0.96366650258533282</v>
      </c>
      <c r="K16" s="193">
        <f>H16/250000000000</f>
        <v>0.91620400000000002</v>
      </c>
      <c r="L16" s="68"/>
      <c r="M16" s="31"/>
    </row>
    <row r="17" spans="1:13" s="20" customFormat="1" ht="26.25" hidden="1" customHeight="1">
      <c r="A17" s="111">
        <v>1</v>
      </c>
      <c r="B17" s="129" t="s">
        <v>152</v>
      </c>
      <c r="C17" s="130"/>
      <c r="D17" s="98"/>
      <c r="E17" s="112"/>
      <c r="F17" s="107" t="e">
        <f>E17/C17*100%</f>
        <v>#DIV/0!</v>
      </c>
      <c r="G17" s="107" t="e">
        <f t="shared" si="1"/>
        <v>#DIV/0!</v>
      </c>
      <c r="H17" s="112">
        <v>0</v>
      </c>
      <c r="I17" s="107" t="e">
        <f>H17/C17*100%</f>
        <v>#DIV/0!</v>
      </c>
      <c r="J17" s="24" t="e">
        <f t="shared" si="3"/>
        <v>#DIV/0!</v>
      </c>
      <c r="K17" s="196"/>
      <c r="M17" s="32"/>
    </row>
    <row r="18" spans="1:13" s="20" customFormat="1" ht="26.25" customHeight="1">
      <c r="A18" s="33" t="s">
        <v>8</v>
      </c>
      <c r="B18" s="122" t="s">
        <v>83</v>
      </c>
      <c r="C18" s="123">
        <v>2359015000000</v>
      </c>
      <c r="D18" s="35">
        <f>D19+D32</f>
        <v>2486732000000</v>
      </c>
      <c r="E18" s="35">
        <f>E19+E32</f>
        <v>756201188808</v>
      </c>
      <c r="F18" s="24">
        <f>E18/C18*100%</f>
        <v>0.32055802477220363</v>
      </c>
      <c r="G18" s="24">
        <f t="shared" si="1"/>
        <v>0.30409436513785965</v>
      </c>
      <c r="H18" s="28">
        <f t="shared" ref="H18" si="6">H19+H32</f>
        <v>2090806340800</v>
      </c>
      <c r="I18" s="24">
        <f>H18/C18*100%</f>
        <v>0.88630480976170134</v>
      </c>
      <c r="J18" s="24">
        <f t="shared" si="3"/>
        <v>0.84078474914063916</v>
      </c>
      <c r="K18" s="115">
        <f>H18/2446928208928</f>
        <v>0.85446166061242268</v>
      </c>
      <c r="L18" s="1"/>
      <c r="M18" s="28">
        <f t="shared" ref="M18" si="7">M19+M32</f>
        <v>424465922630</v>
      </c>
    </row>
    <row r="19" spans="1:13" s="20" customFormat="1" ht="26.25" customHeight="1">
      <c r="A19" s="33" t="s">
        <v>84</v>
      </c>
      <c r="B19" s="122" t="s">
        <v>85</v>
      </c>
      <c r="C19" s="123"/>
      <c r="D19" s="35">
        <f>SUM(D20:D31)</f>
        <v>2209144000000</v>
      </c>
      <c r="E19" s="35">
        <f>SUM(E20:E31)</f>
        <v>678864800697</v>
      </c>
      <c r="F19" s="24"/>
      <c r="G19" s="24">
        <f t="shared" si="1"/>
        <v>0.30729766855261587</v>
      </c>
      <c r="H19" s="28">
        <f t="shared" ref="H19" si="8">SUM(H20:H31)</f>
        <v>1833146667151</v>
      </c>
      <c r="I19" s="24"/>
      <c r="J19" s="24">
        <f t="shared" si="3"/>
        <v>0.82979953644986471</v>
      </c>
      <c r="K19" s="197">
        <f>H19/1907612313839</f>
        <v>0.96096395155987402</v>
      </c>
      <c r="L19" s="1"/>
      <c r="M19" s="28">
        <f t="shared" ref="M19" si="9">SUM(M20:M31)</f>
        <v>377732607000</v>
      </c>
    </row>
    <row r="20" spans="1:13" s="20" customFormat="1" ht="26.25" customHeight="1">
      <c r="A20" s="113">
        <v>1</v>
      </c>
      <c r="B20" s="124" t="s">
        <v>86</v>
      </c>
      <c r="C20" s="125"/>
      <c r="D20" s="114">
        <v>8868000000</v>
      </c>
      <c r="E20" s="39">
        <f>H20-3501321476</f>
        <v>4165582069</v>
      </c>
      <c r="F20" s="69"/>
      <c r="G20" s="69">
        <f t="shared" si="1"/>
        <v>0.46973185261614797</v>
      </c>
      <c r="H20" s="38">
        <v>7666903545</v>
      </c>
      <c r="I20" s="69"/>
      <c r="J20" s="24">
        <f t="shared" si="3"/>
        <v>0.86455836096075778</v>
      </c>
      <c r="K20" s="193">
        <f>H20/5808230000</f>
        <v>1.3200068773102993</v>
      </c>
      <c r="M20" s="37">
        <v>10912000</v>
      </c>
    </row>
    <row r="21" spans="1:13" s="20" customFormat="1" ht="26.25" customHeight="1">
      <c r="A21" s="96">
        <v>2</v>
      </c>
      <c r="B21" s="126" t="s">
        <v>24</v>
      </c>
      <c r="C21" s="127"/>
      <c r="D21" s="59">
        <v>17790000000</v>
      </c>
      <c r="E21" s="40">
        <f>H21-13652109689</f>
        <v>3850906255</v>
      </c>
      <c r="F21" s="71"/>
      <c r="G21" s="71">
        <f t="shared" si="1"/>
        <v>0.21646465739179313</v>
      </c>
      <c r="H21" s="39">
        <v>17503015944</v>
      </c>
      <c r="I21" s="71"/>
      <c r="J21" s="24">
        <f t="shared" si="3"/>
        <v>0.98386823743676222</v>
      </c>
      <c r="K21" s="193">
        <f>H21/15901531045</f>
        <v>1.1007126228580086</v>
      </c>
      <c r="L21" s="68"/>
      <c r="M21" s="39">
        <v>3334023769</v>
      </c>
    </row>
    <row r="22" spans="1:13" s="20" customFormat="1" ht="26.25" customHeight="1">
      <c r="A22" s="96">
        <v>3</v>
      </c>
      <c r="B22" s="48" t="s">
        <v>87</v>
      </c>
      <c r="C22" s="131">
        <v>1027292000000</v>
      </c>
      <c r="D22" s="59">
        <v>1117571000000</v>
      </c>
      <c r="E22" s="40">
        <f>H22-739085848101</f>
        <v>316648674596</v>
      </c>
      <c r="F22" s="71">
        <f>E22/C22*100%</f>
        <v>0.30823628977544848</v>
      </c>
      <c r="G22" s="71">
        <f t="shared" si="1"/>
        <v>0.28333651696044365</v>
      </c>
      <c r="H22" s="40">
        <v>1055734522697</v>
      </c>
      <c r="I22" s="71">
        <f>H22/C22*100%</f>
        <v>1.0276868920394591</v>
      </c>
      <c r="J22" s="24">
        <f t="shared" si="3"/>
        <v>0.94466886014132434</v>
      </c>
      <c r="K22" s="193">
        <f>H22/896914126259</f>
        <v>1.1770742502411404</v>
      </c>
      <c r="M22" s="40">
        <v>207927861514</v>
      </c>
    </row>
    <row r="23" spans="1:13" s="20" customFormat="1" ht="26.25" customHeight="1">
      <c r="A23" s="96">
        <v>4</v>
      </c>
      <c r="B23" s="48" t="s">
        <v>88</v>
      </c>
      <c r="C23" s="131"/>
      <c r="D23" s="59">
        <v>55388000000</v>
      </c>
      <c r="E23" s="40">
        <f>H23-7682725105</f>
        <v>46404124480</v>
      </c>
      <c r="F23" s="71"/>
      <c r="G23" s="71">
        <f t="shared" si="1"/>
        <v>0.83780104860258542</v>
      </c>
      <c r="H23" s="40">
        <v>54086849585</v>
      </c>
      <c r="I23" s="71"/>
      <c r="J23" s="24">
        <f t="shared" si="3"/>
        <v>0.97650844199104503</v>
      </c>
      <c r="K23" s="193">
        <f>H23/125723542702</f>
        <v>0.43020462534372722</v>
      </c>
      <c r="M23" s="40">
        <v>29227127641</v>
      </c>
    </row>
    <row r="24" spans="1:13" s="20" customFormat="1" ht="26.25" customHeight="1">
      <c r="A24" s="96">
        <v>5</v>
      </c>
      <c r="B24" s="48" t="s">
        <v>89</v>
      </c>
      <c r="C24" s="131"/>
      <c r="D24" s="59">
        <v>59410000000</v>
      </c>
      <c r="E24" s="40">
        <f>H24-15359235018</f>
        <v>15551267785</v>
      </c>
      <c r="F24" s="71"/>
      <c r="G24" s="71">
        <f t="shared" si="1"/>
        <v>0.26176178732536609</v>
      </c>
      <c r="H24" s="40">
        <v>30910502803</v>
      </c>
      <c r="I24" s="71"/>
      <c r="J24" s="24">
        <f t="shared" si="3"/>
        <v>0.5202912439488302</v>
      </c>
      <c r="K24" s="193">
        <f>H24/8073824167</f>
        <v>3.8284835244913999</v>
      </c>
      <c r="M24" s="40">
        <v>1732550829</v>
      </c>
    </row>
    <row r="25" spans="1:13" s="20" customFormat="1" ht="26.25" customHeight="1">
      <c r="A25" s="96">
        <v>6</v>
      </c>
      <c r="B25" s="48" t="s">
        <v>90</v>
      </c>
      <c r="C25" s="131"/>
      <c r="D25" s="59">
        <v>116000000</v>
      </c>
      <c r="E25" s="40">
        <f>H25-921927203</f>
        <v>380318730</v>
      </c>
      <c r="F25" s="71"/>
      <c r="G25" s="71">
        <f t="shared" si="1"/>
        <v>3.2786097413793103</v>
      </c>
      <c r="H25" s="40">
        <v>1302245933</v>
      </c>
      <c r="I25" s="71"/>
      <c r="J25" s="24">
        <f t="shared" si="3"/>
        <v>11.226258043103448</v>
      </c>
      <c r="K25" s="193">
        <f>H25/1290980665</f>
        <v>1.0087261322383942</v>
      </c>
      <c r="M25" s="40">
        <v>215897297</v>
      </c>
    </row>
    <row r="26" spans="1:13" s="20" customFormat="1" ht="26.25" customHeight="1">
      <c r="A26" s="96">
        <v>7</v>
      </c>
      <c r="B26" s="48" t="s">
        <v>91</v>
      </c>
      <c r="C26" s="131"/>
      <c r="D26" s="59">
        <v>2737000000</v>
      </c>
      <c r="E26" s="40">
        <f>H26-1521648769</f>
        <v>769519467</v>
      </c>
      <c r="F26" s="71"/>
      <c r="G26" s="71">
        <f t="shared" si="1"/>
        <v>0.28115435403726707</v>
      </c>
      <c r="H26" s="40">
        <v>2291168236</v>
      </c>
      <c r="I26" s="71"/>
      <c r="J26" s="24">
        <f t="shared" si="3"/>
        <v>0.83710932992327369</v>
      </c>
      <c r="K26" s="193">
        <f>H26/1823757665</f>
        <v>1.256289845942882</v>
      </c>
      <c r="M26" s="40">
        <v>307167871</v>
      </c>
    </row>
    <row r="27" spans="1:13" s="20" customFormat="1" ht="26.25" customHeight="1">
      <c r="A27" s="96">
        <v>8</v>
      </c>
      <c r="B27" s="48" t="s">
        <v>92</v>
      </c>
      <c r="C27" s="131">
        <v>335205000000</v>
      </c>
      <c r="D27" s="59">
        <v>347264000000</v>
      </c>
      <c r="E27" s="40">
        <f>H27-90413956500</f>
        <v>135334541263</v>
      </c>
      <c r="F27" s="71">
        <f>E27/C27*100%</f>
        <v>0.40373664254113156</v>
      </c>
      <c r="G27" s="71">
        <f t="shared" si="1"/>
        <v>0.38971658813755528</v>
      </c>
      <c r="H27" s="40">
        <v>225748497763</v>
      </c>
      <c r="I27" s="71">
        <f>H27/C27*100%</f>
        <v>0.67346399296848203</v>
      </c>
      <c r="J27" s="24">
        <f t="shared" si="3"/>
        <v>0.65007745623790547</v>
      </c>
      <c r="K27" s="193">
        <f>H27/389215786341</f>
        <v>0.58000858568777858</v>
      </c>
      <c r="M27" s="40">
        <v>36045559278</v>
      </c>
    </row>
    <row r="28" spans="1:13" s="20" customFormat="1" ht="26.25" customHeight="1">
      <c r="A28" s="96">
        <v>9</v>
      </c>
      <c r="B28" s="48" t="s">
        <v>93</v>
      </c>
      <c r="C28" s="131"/>
      <c r="D28" s="59">
        <v>275429000000</v>
      </c>
      <c r="E28" s="40">
        <f>H28-64358595691</f>
        <v>97320019917</v>
      </c>
      <c r="F28" s="71"/>
      <c r="G28" s="71">
        <f t="shared" si="1"/>
        <v>0.35333977147286594</v>
      </c>
      <c r="H28" s="40">
        <v>161678615608</v>
      </c>
      <c r="I28" s="71"/>
      <c r="J28" s="24">
        <f t="shared" si="3"/>
        <v>0.58700650842140811</v>
      </c>
      <c r="K28" s="193">
        <f>H28/151921777617</f>
        <v>1.0642227740093808</v>
      </c>
      <c r="M28" s="40">
        <v>31635166155</v>
      </c>
    </row>
    <row r="29" spans="1:13" s="20" customFormat="1" ht="26.25" customHeight="1">
      <c r="A29" s="96">
        <v>10</v>
      </c>
      <c r="B29" s="48" t="s">
        <v>148</v>
      </c>
      <c r="C29" s="131"/>
      <c r="D29" s="59">
        <v>110503000000</v>
      </c>
      <c r="E29" s="40">
        <f>H29-60554972338</f>
        <v>20018915537</v>
      </c>
      <c r="F29" s="71"/>
      <c r="G29" s="71">
        <f t="shared" si="1"/>
        <v>0.18116173802521199</v>
      </c>
      <c r="H29" s="40">
        <v>80573887875</v>
      </c>
      <c r="I29" s="71"/>
      <c r="J29" s="24">
        <f t="shared" si="3"/>
        <v>0.72915565980109143</v>
      </c>
      <c r="K29" s="193">
        <f>H29/77880972227</f>
        <v>1.0345773244862808</v>
      </c>
      <c r="M29" s="40">
        <v>26207290646</v>
      </c>
    </row>
    <row r="30" spans="1:13" s="20" customFormat="1" ht="26.25" customHeight="1">
      <c r="A30" s="96">
        <v>11</v>
      </c>
      <c r="B30" s="48" t="s">
        <v>94</v>
      </c>
      <c r="C30" s="131"/>
      <c r="D30" s="59">
        <v>209068000000</v>
      </c>
      <c r="E30" s="132">
        <f>H30-156935127764</f>
        <v>38272589598</v>
      </c>
      <c r="F30" s="71"/>
      <c r="G30" s="71">
        <f t="shared" si="1"/>
        <v>0.18306287714045191</v>
      </c>
      <c r="H30" s="40">
        <v>195207717362</v>
      </c>
      <c r="I30" s="71"/>
      <c r="J30" s="24">
        <f t="shared" si="3"/>
        <v>0.93370442804255072</v>
      </c>
      <c r="K30" s="193">
        <f>H30/232368853551</f>
        <v>0.84007694826086521</v>
      </c>
      <c r="M30" s="40">
        <v>41089050000</v>
      </c>
    </row>
    <row r="31" spans="1:13" s="20" customFormat="1" ht="26.25" customHeight="1">
      <c r="A31" s="97">
        <v>12</v>
      </c>
      <c r="B31" s="133" t="s">
        <v>95</v>
      </c>
      <c r="C31" s="134"/>
      <c r="D31" s="98">
        <v>5000000000</v>
      </c>
      <c r="E31" s="36">
        <f>H31-294398800</f>
        <v>148341000</v>
      </c>
      <c r="F31" s="107"/>
      <c r="G31" s="107">
        <f t="shared" si="1"/>
        <v>2.9668199999999999E-2</v>
      </c>
      <c r="H31" s="99">
        <v>442739800</v>
      </c>
      <c r="I31" s="107"/>
      <c r="J31" s="24">
        <f t="shared" si="3"/>
        <v>8.8547959999999995E-2</v>
      </c>
      <c r="K31" s="193">
        <f>H31/688931600</f>
        <v>0.64264696233994778</v>
      </c>
      <c r="M31" s="38">
        <f t="shared" ref="M31" si="10">L31</f>
        <v>0</v>
      </c>
    </row>
    <row r="32" spans="1:13" s="20" customFormat="1" ht="26.25" customHeight="1">
      <c r="A32" s="41" t="s">
        <v>96</v>
      </c>
      <c r="B32" s="135" t="s">
        <v>97</v>
      </c>
      <c r="C32" s="136"/>
      <c r="D32" s="42">
        <f>D34</f>
        <v>277588000000</v>
      </c>
      <c r="E32" s="42">
        <f>SUM(E33:E34)</f>
        <v>77336388111</v>
      </c>
      <c r="F32" s="24"/>
      <c r="G32" s="24">
        <f t="shared" si="1"/>
        <v>0.27860133763347117</v>
      </c>
      <c r="H32" s="42">
        <f>SUM(H33:H34)</f>
        <v>257659673649</v>
      </c>
      <c r="I32" s="24"/>
      <c r="J32" s="24">
        <f t="shared" si="3"/>
        <v>0.92820897750983467</v>
      </c>
      <c r="K32" s="193">
        <f>H32/446445882954</f>
        <v>0.57713528892716481</v>
      </c>
      <c r="M32" s="42">
        <f>M33+M34</f>
        <v>46733315630</v>
      </c>
    </row>
    <row r="33" spans="1:13" s="20" customFormat="1" ht="18.75" customHeight="1">
      <c r="A33" s="43">
        <v>1</v>
      </c>
      <c r="B33" s="137" t="s">
        <v>36</v>
      </c>
      <c r="C33" s="136"/>
      <c r="D33" s="36">
        <v>0</v>
      </c>
      <c r="E33" s="36">
        <f>H33-4082261476</f>
        <v>5150327635</v>
      </c>
      <c r="F33" s="24"/>
      <c r="G33" s="24"/>
      <c r="H33" s="36">
        <v>9232589111</v>
      </c>
      <c r="I33" s="24"/>
      <c r="J33" s="24"/>
      <c r="K33" s="193"/>
      <c r="L33" s="25"/>
      <c r="M33" s="44"/>
    </row>
    <row r="34" spans="1:13" s="20" customFormat="1">
      <c r="A34" s="46">
        <v>2</v>
      </c>
      <c r="B34" s="135" t="s">
        <v>25</v>
      </c>
      <c r="C34" s="136"/>
      <c r="D34" s="28">
        <f>SUM(D35:D44)</f>
        <v>277588000000</v>
      </c>
      <c r="E34" s="28">
        <f t="shared" ref="E34" si="11">SUM(E35:E44)</f>
        <v>72186060476</v>
      </c>
      <c r="F34" s="24"/>
      <c r="G34" s="24">
        <f t="shared" ref="G34:G39" si="12">E34/D34*100%</f>
        <v>0.26004748215340723</v>
      </c>
      <c r="H34" s="28">
        <f t="shared" ref="H34" si="13">SUM(H35:H44)</f>
        <v>248427084538</v>
      </c>
      <c r="I34" s="24"/>
      <c r="J34" s="24">
        <f t="shared" ref="J34:J39" si="14">H34/D34*100%</f>
        <v>0.89494893344813176</v>
      </c>
      <c r="K34" s="193">
        <f>H34/538274280156</f>
        <v>0.46152508803876358</v>
      </c>
      <c r="M34" s="28">
        <f t="shared" ref="M34" si="15">SUM(M35:M44)</f>
        <v>46733315630</v>
      </c>
    </row>
    <row r="35" spans="1:13" s="20" customFormat="1">
      <c r="A35" s="113" t="s">
        <v>98</v>
      </c>
      <c r="B35" s="124" t="s">
        <v>86</v>
      </c>
      <c r="C35" s="138"/>
      <c r="D35" s="49">
        <v>24941000000</v>
      </c>
      <c r="E35" s="49">
        <f>H35-13718234467</f>
        <v>7553997963</v>
      </c>
      <c r="F35" s="69"/>
      <c r="G35" s="69">
        <f t="shared" si="12"/>
        <v>0.30287470281865203</v>
      </c>
      <c r="H35" s="49">
        <v>21272232430</v>
      </c>
      <c r="I35" s="69"/>
      <c r="J35" s="116">
        <f t="shared" si="14"/>
        <v>0.85290214626518579</v>
      </c>
      <c r="K35" s="193">
        <f>H35/20106173384</f>
        <v>1.0579950756282606</v>
      </c>
      <c r="M35" s="47">
        <v>2703062729</v>
      </c>
    </row>
    <row r="36" spans="1:13" s="20" customFormat="1">
      <c r="A36" s="96" t="s">
        <v>99</v>
      </c>
      <c r="B36" s="126" t="s">
        <v>24</v>
      </c>
      <c r="C36" s="139"/>
      <c r="D36" s="40">
        <v>45337000000</v>
      </c>
      <c r="E36" s="40">
        <f>H36-31597109858</f>
        <v>10628358536</v>
      </c>
      <c r="F36" s="71"/>
      <c r="G36" s="71">
        <f t="shared" si="12"/>
        <v>0.23443012409290426</v>
      </c>
      <c r="H36" s="40">
        <v>42225468394</v>
      </c>
      <c r="I36" s="71"/>
      <c r="J36" s="24">
        <f t="shared" si="14"/>
        <v>0.9313688244480226</v>
      </c>
      <c r="K36" s="193">
        <f>H36/42093800792</f>
        <v>1.0031279570749767</v>
      </c>
      <c r="M36" s="40">
        <v>6932257569</v>
      </c>
    </row>
    <row r="37" spans="1:13" s="20" customFormat="1">
      <c r="A37" s="96" t="s">
        <v>100</v>
      </c>
      <c r="B37" s="48" t="s">
        <v>89</v>
      </c>
      <c r="C37" s="139"/>
      <c r="D37" s="40">
        <v>1212000000</v>
      </c>
      <c r="E37" s="40">
        <f>H37-839323849</f>
        <v>182950274</v>
      </c>
      <c r="F37" s="71"/>
      <c r="G37" s="71">
        <f t="shared" si="12"/>
        <v>0.1509490709570957</v>
      </c>
      <c r="H37" s="40">
        <v>1022274123</v>
      </c>
      <c r="I37" s="71"/>
      <c r="J37" s="24">
        <f t="shared" si="14"/>
        <v>0.84346049752475249</v>
      </c>
      <c r="K37" s="193">
        <f>H37/904466198</f>
        <v>1.1302513297462113</v>
      </c>
      <c r="M37" s="40">
        <v>198138800</v>
      </c>
    </row>
    <row r="38" spans="1:13" s="20" customFormat="1">
      <c r="A38" s="96" t="s">
        <v>101</v>
      </c>
      <c r="B38" s="48" t="s">
        <v>90</v>
      </c>
      <c r="C38" s="139"/>
      <c r="D38" s="40">
        <v>1004000000</v>
      </c>
      <c r="E38" s="40">
        <f>H38-293473406</f>
        <v>208191209</v>
      </c>
      <c r="F38" s="71"/>
      <c r="G38" s="71">
        <f t="shared" si="12"/>
        <v>0.20736176195219125</v>
      </c>
      <c r="H38" s="40">
        <v>501664615</v>
      </c>
      <c r="I38" s="71"/>
      <c r="J38" s="24">
        <f t="shared" si="14"/>
        <v>0.49966595119521912</v>
      </c>
      <c r="K38" s="193">
        <f>H38/541730516</f>
        <v>0.92604090074925738</v>
      </c>
      <c r="M38" s="40">
        <v>14825808</v>
      </c>
    </row>
    <row r="39" spans="1:13" s="20" customFormat="1">
      <c r="A39" s="96" t="s">
        <v>102</v>
      </c>
      <c r="B39" s="48" t="s">
        <v>91</v>
      </c>
      <c r="C39" s="139"/>
      <c r="D39" s="40">
        <v>1146000000</v>
      </c>
      <c r="E39" s="40">
        <f>H39-541566960</f>
        <v>205552512</v>
      </c>
      <c r="F39" s="71"/>
      <c r="G39" s="71">
        <f t="shared" si="12"/>
        <v>0.17936519371727749</v>
      </c>
      <c r="H39" s="40">
        <v>747119472</v>
      </c>
      <c r="I39" s="71"/>
      <c r="J39" s="24">
        <f t="shared" si="14"/>
        <v>0.65193671204188486</v>
      </c>
      <c r="K39" s="193">
        <f>H39/617170513</f>
        <v>1.21055600723426</v>
      </c>
      <c r="M39" s="40">
        <v>49686040</v>
      </c>
    </row>
    <row r="40" spans="1:13" s="20" customFormat="1">
      <c r="A40" s="96" t="s">
        <v>103</v>
      </c>
      <c r="B40" s="48" t="s">
        <v>92</v>
      </c>
      <c r="C40" s="139"/>
      <c r="D40" s="40">
        <v>0</v>
      </c>
      <c r="E40" s="40">
        <f>H40-116303372</f>
        <v>106266508</v>
      </c>
      <c r="F40" s="71"/>
      <c r="G40" s="71"/>
      <c r="H40" s="40">
        <v>222569880</v>
      </c>
      <c r="I40" s="71"/>
      <c r="J40" s="24"/>
      <c r="K40" s="193">
        <f>H40/213700362</f>
        <v>1.0415044594075138</v>
      </c>
      <c r="M40" s="40">
        <v>9700000</v>
      </c>
    </row>
    <row r="41" spans="1:13" s="20" customFormat="1">
      <c r="A41" s="96" t="s">
        <v>104</v>
      </c>
      <c r="B41" s="48" t="s">
        <v>93</v>
      </c>
      <c r="C41" s="139"/>
      <c r="D41" s="40">
        <v>3380000000</v>
      </c>
      <c r="E41" s="40">
        <f>H41-732375872</f>
        <v>780719272</v>
      </c>
      <c r="F41" s="71"/>
      <c r="G41" s="71">
        <f>E41/D41*100%</f>
        <v>0.23098203313609467</v>
      </c>
      <c r="H41" s="40">
        <v>1513095144</v>
      </c>
      <c r="I41" s="40"/>
      <c r="J41" s="24">
        <f>H41/D41*100%</f>
        <v>0.44766128520710058</v>
      </c>
      <c r="K41" s="193">
        <f>H41/1502680028</f>
        <v>1.0069310271021983</v>
      </c>
      <c r="M41" s="40">
        <v>184436145</v>
      </c>
    </row>
    <row r="42" spans="1:13" s="20" customFormat="1">
      <c r="A42" s="96" t="s">
        <v>105</v>
      </c>
      <c r="B42" s="48" t="s">
        <v>106</v>
      </c>
      <c r="C42" s="139"/>
      <c r="D42" s="40">
        <v>164114000000</v>
      </c>
      <c r="E42" s="40">
        <f>H42-106635083176</f>
        <v>41755757407</v>
      </c>
      <c r="F42" s="71"/>
      <c r="G42" s="71">
        <f>E42/D42*100%</f>
        <v>0.25443141600960306</v>
      </c>
      <c r="H42" s="40">
        <v>148390840583</v>
      </c>
      <c r="I42" s="40"/>
      <c r="J42" s="24">
        <f>H42/D42*100%</f>
        <v>0.9041936738060129</v>
      </c>
      <c r="K42" s="193">
        <f>H42/441302402546</f>
        <v>0.33625658896686428</v>
      </c>
      <c r="M42" s="40">
        <v>31646095579</v>
      </c>
    </row>
    <row r="43" spans="1:13" s="20" customFormat="1">
      <c r="A43" s="96" t="s">
        <v>107</v>
      </c>
      <c r="B43" s="48" t="s">
        <v>94</v>
      </c>
      <c r="C43" s="139"/>
      <c r="D43" s="40">
        <v>939000000</v>
      </c>
      <c r="E43" s="132">
        <f>H43-467812513</f>
        <v>95160294</v>
      </c>
      <c r="F43" s="71"/>
      <c r="G43" s="71">
        <f>E43/D43*100%</f>
        <v>0.1013421661341853</v>
      </c>
      <c r="H43" s="40">
        <v>562972807</v>
      </c>
      <c r="I43" s="40"/>
      <c r="J43" s="24">
        <f>H43/D43*100%</f>
        <v>0.5995450553780618</v>
      </c>
      <c r="K43" s="193">
        <f>H43/538774045</f>
        <v>1.044914491008935</v>
      </c>
      <c r="M43" s="40">
        <v>67542000</v>
      </c>
    </row>
    <row r="44" spans="1:13" s="20" customFormat="1">
      <c r="A44" s="97" t="s">
        <v>108</v>
      </c>
      <c r="B44" s="133" t="s">
        <v>95</v>
      </c>
      <c r="C44" s="130"/>
      <c r="D44" s="99">
        <v>35515000000</v>
      </c>
      <c r="E44" s="99">
        <f>H44-21299740589</f>
        <v>10669106501</v>
      </c>
      <c r="F44" s="107"/>
      <c r="G44" s="107">
        <f>E44/D44*100%</f>
        <v>0.30041127695339997</v>
      </c>
      <c r="H44" s="99">
        <v>31968847090</v>
      </c>
      <c r="I44" s="99"/>
      <c r="J44" s="24">
        <f>H44/D44*100%</f>
        <v>0.90015055863719551</v>
      </c>
      <c r="K44" s="193">
        <f>H44/30453381772</f>
        <v>1.0497634492400898</v>
      </c>
      <c r="M44" s="49">
        <v>4927570960</v>
      </c>
    </row>
    <row r="45" spans="1:13" s="20" customFormat="1" ht="27" customHeight="1">
      <c r="A45" s="41" t="s">
        <v>9</v>
      </c>
      <c r="B45" s="140" t="s">
        <v>149</v>
      </c>
      <c r="C45" s="136"/>
      <c r="D45" s="35"/>
      <c r="E45" s="28"/>
      <c r="F45" s="24"/>
      <c r="G45" s="24"/>
      <c r="H45" s="28"/>
      <c r="I45" s="28"/>
      <c r="J45" s="24"/>
      <c r="K45" s="193"/>
      <c r="M45" s="50"/>
    </row>
    <row r="46" spans="1:13" s="20" customFormat="1" ht="33" customHeight="1">
      <c r="A46" s="41" t="s">
        <v>11</v>
      </c>
      <c r="B46" s="140" t="s">
        <v>109</v>
      </c>
      <c r="C46" s="141"/>
      <c r="D46" s="35">
        <v>64225000000</v>
      </c>
      <c r="E46" s="28">
        <f>H46-60763562299</f>
        <v>3459338005</v>
      </c>
      <c r="F46" s="24"/>
      <c r="G46" s="24">
        <f>E46/D46*100%</f>
        <v>5.386279493966524E-2</v>
      </c>
      <c r="H46" s="28">
        <v>64222900304</v>
      </c>
      <c r="I46" s="28"/>
      <c r="J46" s="24">
        <f>H46/D46*100%</f>
        <v>0.99996730718567539</v>
      </c>
      <c r="K46" s="192"/>
      <c r="M46" s="50">
        <v>11000000000</v>
      </c>
    </row>
    <row r="47" spans="1:13" s="29" customFormat="1">
      <c r="A47" s="51" t="s">
        <v>45</v>
      </c>
      <c r="B47" s="102" t="s">
        <v>150</v>
      </c>
      <c r="C47" s="103"/>
      <c r="D47" s="28"/>
      <c r="E47" s="35">
        <f>E48</f>
        <v>0</v>
      </c>
      <c r="F47" s="24"/>
      <c r="G47" s="24"/>
      <c r="H47" s="28"/>
      <c r="I47" s="28"/>
      <c r="J47" s="24"/>
      <c r="K47" s="192"/>
      <c r="M47" s="52">
        <v>0</v>
      </c>
    </row>
    <row r="48" spans="1:13" s="29" customFormat="1">
      <c r="A48" s="51" t="s">
        <v>140</v>
      </c>
      <c r="B48" s="135" t="s">
        <v>114</v>
      </c>
      <c r="C48" s="28">
        <v>59200000000</v>
      </c>
      <c r="D48" s="28">
        <f>D49+D50</f>
        <v>59200000000</v>
      </c>
      <c r="E48" s="28">
        <f>E49+E50</f>
        <v>0</v>
      </c>
      <c r="F48" s="24">
        <f>E48/C48*100%</f>
        <v>0</v>
      </c>
      <c r="G48" s="24">
        <f>E48/D48*100%</f>
        <v>0</v>
      </c>
      <c r="H48" s="28"/>
      <c r="I48" s="28"/>
      <c r="J48" s="24"/>
      <c r="K48" s="192"/>
      <c r="M48" s="87"/>
    </row>
    <row r="49" spans="1:13" s="29" customFormat="1">
      <c r="A49" s="100"/>
      <c r="B49" s="125" t="s">
        <v>85</v>
      </c>
      <c r="C49" s="101"/>
      <c r="D49" s="49">
        <v>53755000000</v>
      </c>
      <c r="E49" s="117"/>
      <c r="F49" s="69"/>
      <c r="G49" s="69">
        <f>E49/D49*100%</f>
        <v>0</v>
      </c>
      <c r="H49" s="101"/>
      <c r="I49" s="101"/>
      <c r="J49" s="24"/>
      <c r="K49" s="192"/>
      <c r="M49" s="87"/>
    </row>
    <row r="50" spans="1:13" s="29" customFormat="1">
      <c r="A50" s="104"/>
      <c r="B50" s="110" t="s">
        <v>115</v>
      </c>
      <c r="C50" s="106"/>
      <c r="D50" s="99">
        <v>5445000000</v>
      </c>
      <c r="E50" s="55"/>
      <c r="F50" s="107"/>
      <c r="G50" s="107">
        <f>E50/D50*100%</f>
        <v>0</v>
      </c>
      <c r="H50" s="106"/>
      <c r="I50" s="106"/>
      <c r="J50" s="24"/>
      <c r="K50" s="192"/>
      <c r="M50" s="87"/>
    </row>
    <row r="51" spans="1:13" s="29" customFormat="1">
      <c r="A51" s="51" t="s">
        <v>142</v>
      </c>
      <c r="B51" s="135" t="s">
        <v>33</v>
      </c>
      <c r="C51" s="28"/>
      <c r="D51" s="28">
        <v>883000000</v>
      </c>
      <c r="E51" s="28"/>
      <c r="F51" s="24"/>
      <c r="G51" s="24">
        <f>E51/D51*100%</f>
        <v>0</v>
      </c>
      <c r="H51" s="28"/>
      <c r="I51" s="28"/>
      <c r="J51" s="24"/>
      <c r="K51" s="192"/>
      <c r="M51" s="87"/>
    </row>
    <row r="52" spans="1:13" s="20" customFormat="1">
      <c r="A52" s="41" t="s">
        <v>2</v>
      </c>
      <c r="B52" s="135" t="s">
        <v>110</v>
      </c>
      <c r="C52" s="136"/>
      <c r="D52" s="35">
        <f>D53</f>
        <v>0</v>
      </c>
      <c r="E52" s="35">
        <f>E53</f>
        <v>46774896363</v>
      </c>
      <c r="F52" s="24"/>
      <c r="G52" s="24"/>
      <c r="H52" s="35">
        <f>H53</f>
        <v>106242717983</v>
      </c>
      <c r="I52" s="35"/>
      <c r="J52" s="24"/>
      <c r="K52" s="192">
        <f>H52/477577292378</f>
        <v>0.22246182906642351</v>
      </c>
      <c r="M52" s="45">
        <f>M53</f>
        <v>25517000000</v>
      </c>
    </row>
    <row r="53" spans="1:13" s="20" customFormat="1">
      <c r="A53" s="108"/>
      <c r="B53" s="142" t="s">
        <v>111</v>
      </c>
      <c r="C53" s="125"/>
      <c r="D53" s="114"/>
      <c r="E53" s="109">
        <f>SUM(E54:E55)</f>
        <v>46774896363</v>
      </c>
      <c r="F53" s="69"/>
      <c r="G53" s="69"/>
      <c r="H53" s="109">
        <f>SUM(H54:H55)</f>
        <v>106242717983</v>
      </c>
      <c r="I53" s="69"/>
      <c r="J53" s="24"/>
      <c r="K53" s="192">
        <f>H53/477577292378</f>
        <v>0.22246182906642351</v>
      </c>
      <c r="M53" s="54">
        <f>SUM(M54:M55)</f>
        <v>25517000000</v>
      </c>
    </row>
    <row r="54" spans="1:13" s="20" customFormat="1" ht="21" customHeight="1">
      <c r="A54" s="70">
        <v>1</v>
      </c>
      <c r="B54" s="127" t="s">
        <v>112</v>
      </c>
      <c r="C54" s="127"/>
      <c r="D54" s="59"/>
      <c r="E54" s="59">
        <f>H54-52207000000</f>
        <v>40601016000</v>
      </c>
      <c r="F54" s="71"/>
      <c r="G54" s="71"/>
      <c r="H54" s="59">
        <v>92808016000</v>
      </c>
      <c r="I54" s="71"/>
      <c r="J54" s="24"/>
      <c r="K54" s="192">
        <f>H54/146298017000</f>
        <v>0.63437644544423322</v>
      </c>
      <c r="M54" s="53">
        <v>25517000000</v>
      </c>
    </row>
    <row r="55" spans="1:13" s="20" customFormat="1" ht="26.25" customHeight="1">
      <c r="A55" s="105">
        <v>2</v>
      </c>
      <c r="B55" s="110" t="s">
        <v>113</v>
      </c>
      <c r="C55" s="110"/>
      <c r="D55" s="98"/>
      <c r="E55" s="110">
        <f>H55-7260821620</f>
        <v>6173880363</v>
      </c>
      <c r="F55" s="98"/>
      <c r="G55" s="98"/>
      <c r="H55" s="110">
        <v>13434701983</v>
      </c>
      <c r="I55" s="107"/>
      <c r="J55" s="24"/>
      <c r="K55" s="192">
        <f>H55/331279275378</f>
        <v>4.05540067898017E-2</v>
      </c>
      <c r="L55" s="1"/>
      <c r="M55" s="55">
        <v>0</v>
      </c>
    </row>
    <row r="56" spans="1:13" s="20" customFormat="1" ht="26.25" customHeight="1">
      <c r="A56" s="33" t="s">
        <v>10</v>
      </c>
      <c r="B56" s="122" t="s">
        <v>47</v>
      </c>
      <c r="C56" s="123"/>
      <c r="D56" s="35">
        <v>0</v>
      </c>
      <c r="E56" s="35">
        <f>H56-86388823704</f>
        <v>2151604741</v>
      </c>
      <c r="F56" s="45"/>
      <c r="G56" s="45"/>
      <c r="H56" s="35">
        <v>88540428445</v>
      </c>
      <c r="I56" s="45"/>
      <c r="J56" s="24"/>
      <c r="K56" s="194">
        <f>H56/380345970150</f>
        <v>0.23278918509398594</v>
      </c>
      <c r="M56" s="45">
        <v>26825994349</v>
      </c>
    </row>
    <row r="57" spans="1:13" s="20" customFormat="1" ht="26.25" hidden="1" customHeight="1">
      <c r="A57" s="33" t="s">
        <v>23</v>
      </c>
      <c r="B57" s="122" t="s">
        <v>117</v>
      </c>
      <c r="C57" s="123"/>
      <c r="D57" s="35">
        <v>0</v>
      </c>
      <c r="E57" s="35"/>
      <c r="F57" s="91"/>
      <c r="G57" s="91"/>
      <c r="H57" s="72"/>
      <c r="I57" s="72"/>
      <c r="J57" s="24"/>
      <c r="K57" s="195"/>
      <c r="M57" s="73"/>
    </row>
    <row r="58" spans="1:13" s="20" customFormat="1" ht="26.25" hidden="1" customHeight="1">
      <c r="A58" s="33" t="s">
        <v>116</v>
      </c>
      <c r="B58" s="33" t="s">
        <v>161</v>
      </c>
      <c r="C58" s="34"/>
      <c r="D58" s="72">
        <v>0</v>
      </c>
      <c r="E58" s="72"/>
      <c r="F58" s="91"/>
      <c r="G58" s="91"/>
      <c r="H58" s="72"/>
      <c r="I58" s="72"/>
      <c r="J58" s="24"/>
      <c r="K58" s="195"/>
      <c r="M58" s="74">
        <v>211732505077</v>
      </c>
    </row>
    <row r="59" spans="1:13" ht="26.25" customHeight="1">
      <c r="D59" s="63"/>
      <c r="G59" s="90"/>
      <c r="H59" s="19"/>
      <c r="I59" s="90"/>
      <c r="K59" s="208"/>
    </row>
    <row r="60" spans="1:13" ht="26.25" customHeight="1">
      <c r="B60" s="56"/>
      <c r="G60" s="90"/>
      <c r="I60" s="90"/>
      <c r="J60" s="90"/>
      <c r="K60" s="209"/>
    </row>
    <row r="61" spans="1:13" ht="26.25" customHeight="1">
      <c r="G61" s="90"/>
      <c r="I61" s="90"/>
      <c r="J61" s="90"/>
      <c r="K61" s="209"/>
    </row>
    <row r="62" spans="1:13" ht="26.25" customHeight="1">
      <c r="G62" s="90"/>
      <c r="I62" s="90"/>
      <c r="J62" s="90"/>
      <c r="K62" s="209"/>
    </row>
    <row r="63" spans="1:13" ht="26.25" customHeight="1">
      <c r="C63"/>
      <c r="G63" s="90"/>
      <c r="I63" s="94"/>
      <c r="K63" s="190"/>
    </row>
    <row r="64" spans="1:13" ht="26.25" customHeight="1">
      <c r="B64" s="57"/>
      <c r="C64"/>
      <c r="G64" s="90"/>
    </row>
    <row r="65" spans="2:7" ht="26.25" customHeight="1">
      <c r="B65" s="57"/>
      <c r="C65"/>
      <c r="G65" s="90"/>
    </row>
    <row r="66" spans="2:7" ht="26.25" customHeight="1">
      <c r="B66" s="57"/>
      <c r="C66"/>
      <c r="G66" s="90"/>
    </row>
    <row r="67" spans="2:7" ht="26.25" customHeight="1">
      <c r="C67"/>
      <c r="G67" s="90"/>
    </row>
    <row r="68" spans="2:7" ht="26.25" customHeight="1">
      <c r="C68"/>
      <c r="G68" s="90"/>
    </row>
    <row r="69" spans="2:7" ht="26.25" customHeight="1">
      <c r="C69"/>
      <c r="G69" s="90"/>
    </row>
    <row r="70" spans="2:7">
      <c r="G70" s="89"/>
    </row>
  </sheetData>
  <mergeCells count="18">
    <mergeCell ref="A5:D5"/>
    <mergeCell ref="A7:A8"/>
    <mergeCell ref="B7:B8"/>
    <mergeCell ref="G7:G8"/>
    <mergeCell ref="A1:B1"/>
    <mergeCell ref="A2:B2"/>
    <mergeCell ref="D1:J1"/>
    <mergeCell ref="D2:J2"/>
    <mergeCell ref="A4:J4"/>
    <mergeCell ref="I7:I8"/>
    <mergeCell ref="C7:C8"/>
    <mergeCell ref="K7:K8"/>
    <mergeCell ref="M7:M8"/>
    <mergeCell ref="D7:D8"/>
    <mergeCell ref="E7:E8"/>
    <mergeCell ref="F7:F8"/>
    <mergeCell ref="H7:H8"/>
    <mergeCell ref="J7:J8"/>
  </mergeCells>
  <pageMargins left="0.7" right="0.7" top="0.75" bottom="0.75" header="0.3" footer="0.3"/>
  <pageSetup paperSize="9"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4F766-F910-4B47-A2FE-235FFBEC3281}"/>
</file>

<file path=customXml/itemProps2.xml><?xml version="1.0" encoding="utf-8"?>
<ds:datastoreItem xmlns:ds="http://schemas.openxmlformats.org/officeDocument/2006/customXml" ds:itemID="{B2BB5591-5661-4CF7-974A-F9C6D1272218}"/>
</file>

<file path=customXml/itemProps3.xml><?xml version="1.0" encoding="utf-8"?>
<ds:datastoreItem xmlns:ds="http://schemas.openxmlformats.org/officeDocument/2006/customXml" ds:itemID="{E3C6D365-B815-4512-9E2F-D51350EEB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MAU 93-ck (2)</vt:lpstr>
      <vt:lpstr>MAU 94-ck (4)</vt:lpstr>
      <vt:lpstr>MAU 95-CK </vt:lpstr>
      <vt:lpstr>'MAU 93-ck (2)'!Print_Titles</vt:lpstr>
      <vt:lpstr>'MAU 94-ck (4)'!Print_Titles</vt:lpstr>
      <vt:lpstr>'MAU 95-CK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VU BH</dc:creator>
  <cp:lastModifiedBy>Administrator</cp:lastModifiedBy>
  <cp:lastPrinted>2024-01-10T08:13:41Z</cp:lastPrinted>
  <dcterms:created xsi:type="dcterms:W3CDTF">2017-07-22T05:53:59Z</dcterms:created>
  <dcterms:modified xsi:type="dcterms:W3CDTF">2024-01-10T08:21:04Z</dcterms:modified>
</cp:coreProperties>
</file>